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Users\elisehepker\Documents\Marketing\Agency\Events\Prevent Plant Meeting\"/>
    </mc:Choice>
  </mc:AlternateContent>
  <xr:revisionPtr revIDLastSave="0" documentId="8_{11FD8828-DAA3-4755-8AE8-59B22EBE7167}" xr6:coauthVersionLast="43" xr6:coauthVersionMax="43" xr10:uidLastSave="{00000000-0000-0000-0000-000000000000}"/>
  <bookViews>
    <workbookView xWindow="-57720" yWindow="-4965" windowWidth="29040" windowHeight="15840" xr2:uid="{00000000-000D-0000-FFFF-FFFF00000000}"/>
  </bookViews>
  <sheets>
    <sheet name="Example" sheetId="25" r:id="rId1"/>
    <sheet name="Example Charts" sheetId="17" r:id="rId2"/>
    <sheet name="Blank" sheetId="28" r:id="rId3"/>
    <sheet name="Blank Charts" sheetId="29" r:id="rId4"/>
    <sheet name="Data" sheetId="2" r:id="rId5"/>
  </sheets>
  <definedNames>
    <definedName name="_xlnm.Print_Area" localSheetId="2">Blank!$A$1:$R$76</definedName>
    <definedName name="_xlnm.Print_Area" localSheetId="4">Data!$A$1:$H$50</definedName>
    <definedName name="_xlnm.Print_Area" localSheetId="0">Example!$A$1:$R$76</definedName>
    <definedName name="Types">Data!$B$3:$B$7</definedName>
    <definedName name="Typesblank">Data!$B$3:$B$7</definedName>
    <definedName name="Z_F9149101_45DA_497E_B5FE_736B1DD83EC1_.wvu.PrintArea" localSheetId="2" hidden="1">Blank!$A$1:$R$59</definedName>
    <definedName name="Z_F9149101_45DA_497E_B5FE_736B1DD83EC1_.wvu.PrintArea" localSheetId="0" hidden="1">Example!$A$1:$R$59</definedName>
    <definedName name="zones">Data!$B$27:$B$29</definedName>
    <definedName name="zonesblank">Data!$B$27:$B$29</definedName>
  </definedNames>
  <calcPr calcId="191029"/>
  <customWorkbookViews>
    <customWorkbookView name="Corn Already Planted" guid="{F9149101-45DA-497E-B5FE-736B1DD83EC1}" includeHiddenRowCol="0" maximized="1" windowWidth="1043" windowHeight="692"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2" l="1"/>
  <c r="A55" i="28" l="1"/>
  <c r="A64" i="28" s="1"/>
  <c r="A54" i="28"/>
  <c r="M47" i="28"/>
  <c r="I47" i="28"/>
  <c r="Q41" i="28"/>
  <c r="J41" i="28"/>
  <c r="L35" i="28"/>
  <c r="H35" i="28"/>
  <c r="R24" i="28"/>
  <c r="Q24" i="28"/>
  <c r="O24" i="28"/>
  <c r="N24" i="28"/>
  <c r="K24" i="28"/>
  <c r="J24" i="28"/>
  <c r="G24" i="28"/>
  <c r="F24" i="28"/>
  <c r="Q23" i="28"/>
  <c r="O23" i="28"/>
  <c r="N23" i="28"/>
  <c r="J23" i="28"/>
  <c r="G23" i="28"/>
  <c r="F23" i="28"/>
  <c r="R19" i="28"/>
  <c r="Q19" i="28"/>
  <c r="O19" i="28"/>
  <c r="N19" i="28"/>
  <c r="L19" i="28"/>
  <c r="K19" i="28"/>
  <c r="J19" i="28"/>
  <c r="H19" i="28"/>
  <c r="G19" i="28"/>
  <c r="F19" i="28"/>
  <c r="V14" i="28"/>
  <c r="R14" i="28"/>
  <c r="Q14" i="28"/>
  <c r="O14" i="28"/>
  <c r="L14" i="28"/>
  <c r="K14" i="28"/>
  <c r="J14" i="28"/>
  <c r="H14" i="28"/>
  <c r="G14" i="28"/>
  <c r="O12" i="28"/>
  <c r="N12" i="28"/>
  <c r="N43" i="28" s="1"/>
  <c r="G12" i="28"/>
  <c r="F12" i="28"/>
  <c r="F40" i="28" s="1"/>
  <c r="F41" i="28" s="1"/>
  <c r="R11" i="28"/>
  <c r="Q11" i="28"/>
  <c r="O11" i="28"/>
  <c r="N11" i="28"/>
  <c r="L11" i="28"/>
  <c r="K11" i="28"/>
  <c r="J11" i="28"/>
  <c r="H11" i="28"/>
  <c r="G11" i="28"/>
  <c r="F11" i="28"/>
  <c r="W8" i="28"/>
  <c r="W7" i="28"/>
  <c r="W6" i="28"/>
  <c r="V6" i="28"/>
  <c r="W5" i="28"/>
  <c r="V5" i="28"/>
  <c r="W4" i="28"/>
  <c r="W15" i="28" s="1"/>
  <c r="V4" i="28"/>
  <c r="H35" i="25"/>
  <c r="R24" i="25"/>
  <c r="Q24" i="25"/>
  <c r="O24" i="25"/>
  <c r="N24" i="25"/>
  <c r="K24" i="25"/>
  <c r="J24" i="25"/>
  <c r="G24" i="25"/>
  <c r="F24" i="25"/>
  <c r="F11" i="25"/>
  <c r="L35" i="25"/>
  <c r="A65" i="28" l="1"/>
  <c r="Q18" i="28"/>
  <c r="O18" i="28"/>
  <c r="D21" i="28"/>
  <c r="N18" i="28"/>
  <c r="H18" i="28"/>
  <c r="R18" i="28"/>
  <c r="L18" i="28"/>
  <c r="O46" i="28"/>
  <c r="N40" i="28"/>
  <c r="N41" i="28" s="1"/>
  <c r="V15" i="28"/>
  <c r="F43" i="28"/>
  <c r="A55" i="25"/>
  <c r="A64" i="25" s="1"/>
  <c r="A54" i="25"/>
  <c r="M47" i="25"/>
  <c r="I47" i="25"/>
  <c r="Q41" i="25"/>
  <c r="J41" i="25"/>
  <c r="Q23" i="25"/>
  <c r="O23" i="25"/>
  <c r="N23" i="25"/>
  <c r="J23" i="25"/>
  <c r="G23" i="25"/>
  <c r="F23" i="25"/>
  <c r="R19" i="25"/>
  <c r="Q19" i="25"/>
  <c r="O19" i="25"/>
  <c r="N19" i="25"/>
  <c r="L19" i="25"/>
  <c r="K19" i="25"/>
  <c r="J19" i="25"/>
  <c r="H19" i="25"/>
  <c r="G19" i="25"/>
  <c r="F19" i="25"/>
  <c r="R14" i="25"/>
  <c r="Q14" i="25"/>
  <c r="O14" i="25"/>
  <c r="L14" i="25"/>
  <c r="K14" i="25"/>
  <c r="J14" i="25"/>
  <c r="H14" i="25"/>
  <c r="G14" i="25"/>
  <c r="O12" i="25"/>
  <c r="N12" i="25"/>
  <c r="N43" i="25" s="1"/>
  <c r="G12" i="25"/>
  <c r="F12" i="25"/>
  <c r="F43" i="25" s="1"/>
  <c r="R11" i="25"/>
  <c r="Q11" i="25"/>
  <c r="O11" i="25"/>
  <c r="N11" i="25"/>
  <c r="L11" i="25"/>
  <c r="K11" i="25"/>
  <c r="J11" i="25"/>
  <c r="H11" i="25"/>
  <c r="G11" i="25"/>
  <c r="W8" i="25"/>
  <c r="W7" i="25"/>
  <c r="W6" i="25"/>
  <c r="V6" i="25"/>
  <c r="W5" i="25"/>
  <c r="V5" i="25"/>
  <c r="W4" i="25"/>
  <c r="V4" i="25"/>
  <c r="A66" i="28" l="1"/>
  <c r="A20" i="28"/>
  <c r="K18" i="28"/>
  <c r="F18" i="28"/>
  <c r="C21" i="28"/>
  <c r="G18" i="28"/>
  <c r="J18" i="28"/>
  <c r="R21" i="28"/>
  <c r="L21" i="28"/>
  <c r="Q21" i="28"/>
  <c r="O21" i="28"/>
  <c r="N21" i="28"/>
  <c r="H21" i="28"/>
  <c r="G46" i="28"/>
  <c r="V14" i="25"/>
  <c r="V15" i="25"/>
  <c r="F18" i="25" s="1"/>
  <c r="W15" i="25"/>
  <c r="N18" i="25" s="1"/>
  <c r="F40" i="25"/>
  <c r="F41" i="25" s="1"/>
  <c r="N40" i="25"/>
  <c r="N41" i="25" s="1"/>
  <c r="A65" i="25"/>
  <c r="R18" i="25"/>
  <c r="H18" i="25"/>
  <c r="L18" i="25"/>
  <c r="O46" i="25"/>
  <c r="G46" i="25" l="1"/>
  <c r="G21" i="28"/>
  <c r="K21" i="28"/>
  <c r="J21" i="28"/>
  <c r="F21" i="28"/>
  <c r="A67" i="28"/>
  <c r="O18" i="25"/>
  <c r="D21" i="25"/>
  <c r="L21" i="25" s="1"/>
  <c r="Q18" i="25"/>
  <c r="C21" i="25"/>
  <c r="J21" i="25" s="1"/>
  <c r="J18" i="25"/>
  <c r="G18" i="25"/>
  <c r="A20" i="25"/>
  <c r="K18" i="25"/>
  <c r="A66" i="25"/>
  <c r="K21" i="25" l="1"/>
  <c r="R21" i="25"/>
  <c r="O21" i="25"/>
  <c r="Q21" i="25"/>
  <c r="H21" i="25"/>
  <c r="A68" i="28"/>
  <c r="N21" i="25"/>
  <c r="G21" i="25"/>
  <c r="F21" i="25"/>
  <c r="A67" i="25"/>
  <c r="A69" i="28" l="1"/>
  <c r="A68" i="25"/>
  <c r="C10" i="2"/>
  <c r="D20" i="2" s="1"/>
  <c r="D4" i="2"/>
  <c r="D15" i="28" l="1"/>
  <c r="D64" i="28"/>
  <c r="D65" i="28"/>
  <c r="D66" i="28"/>
  <c r="D67" i="28"/>
  <c r="A70" i="28"/>
  <c r="D69" i="28"/>
  <c r="D68" i="28"/>
  <c r="D65" i="25"/>
  <c r="D64" i="25"/>
  <c r="D15" i="25"/>
  <c r="R15" i="25" s="1"/>
  <c r="D66" i="25"/>
  <c r="D67" i="25"/>
  <c r="A69" i="25"/>
  <c r="D68" i="25"/>
  <c r="C20" i="2"/>
  <c r="C13" i="2"/>
  <c r="D13" i="2"/>
  <c r="J64" i="25" l="1"/>
  <c r="H25" i="28"/>
  <c r="K23" i="28"/>
  <c r="L24" i="28"/>
  <c r="L64" i="28" s="1"/>
  <c r="G25" i="28"/>
  <c r="J64" i="28"/>
  <c r="J15" i="28"/>
  <c r="F25" i="28"/>
  <c r="J44" i="28"/>
  <c r="L44" i="28"/>
  <c r="F44" i="28"/>
  <c r="F65" i="28"/>
  <c r="F64" i="28"/>
  <c r="J65" i="28"/>
  <c r="F66" i="28"/>
  <c r="J66" i="28"/>
  <c r="F67" i="28"/>
  <c r="J67" i="28"/>
  <c r="J68" i="28"/>
  <c r="F68" i="28"/>
  <c r="F69" i="28"/>
  <c r="J70" i="28"/>
  <c r="A71" i="28"/>
  <c r="B70" i="28"/>
  <c r="Q70" i="28"/>
  <c r="D70" i="28"/>
  <c r="N70" i="28"/>
  <c r="F70" i="28"/>
  <c r="O66" i="28"/>
  <c r="R66" i="28"/>
  <c r="Q64" i="25"/>
  <c r="H23" i="28"/>
  <c r="Q64" i="28"/>
  <c r="N25" i="28"/>
  <c r="N65" i="28"/>
  <c r="Q15" i="28"/>
  <c r="R23" i="28"/>
  <c r="N45" i="28"/>
  <c r="Q45" i="28"/>
  <c r="O25" i="28"/>
  <c r="N64" i="28"/>
  <c r="L23" i="28"/>
  <c r="Q65" i="28"/>
  <c r="N66" i="28"/>
  <c r="Q66" i="28"/>
  <c r="Q67" i="28"/>
  <c r="N67" i="28"/>
  <c r="Q68" i="28"/>
  <c r="N68" i="28"/>
  <c r="N69" i="28"/>
  <c r="J69" i="28"/>
  <c r="O65" i="28"/>
  <c r="R65" i="28"/>
  <c r="O69" i="28"/>
  <c r="R69" i="28"/>
  <c r="Q69" i="28"/>
  <c r="R64" i="28"/>
  <c r="O64" i="28"/>
  <c r="C15" i="28"/>
  <c r="B64" i="28"/>
  <c r="B65" i="28"/>
  <c r="B66" i="28"/>
  <c r="B67" i="28"/>
  <c r="B68" i="28"/>
  <c r="R68" i="28"/>
  <c r="O68" i="28"/>
  <c r="B69" i="28"/>
  <c r="R67" i="28"/>
  <c r="O67" i="28"/>
  <c r="H15" i="28"/>
  <c r="L15" i="28"/>
  <c r="D16" i="28"/>
  <c r="R15" i="28"/>
  <c r="O15" i="28"/>
  <c r="N64" i="25"/>
  <c r="N65" i="25"/>
  <c r="N69" i="25"/>
  <c r="N66" i="25"/>
  <c r="N67" i="25"/>
  <c r="N68" i="25"/>
  <c r="F65" i="25"/>
  <c r="F69" i="25"/>
  <c r="F67" i="25"/>
  <c r="F66" i="25"/>
  <c r="F68" i="25"/>
  <c r="H25" i="25"/>
  <c r="F64" i="25"/>
  <c r="F44" i="25"/>
  <c r="J44" i="25"/>
  <c r="O25" i="25"/>
  <c r="N45" i="25"/>
  <c r="N48" i="25" s="1"/>
  <c r="N25" i="25"/>
  <c r="G25" i="25"/>
  <c r="F25" i="25"/>
  <c r="O68" i="25"/>
  <c r="R68" i="25"/>
  <c r="O65" i="25"/>
  <c r="R65" i="25"/>
  <c r="O67" i="25"/>
  <c r="R67" i="25"/>
  <c r="O66" i="25"/>
  <c r="R66" i="25"/>
  <c r="Q65" i="25"/>
  <c r="Q69" i="25"/>
  <c r="Q66" i="25"/>
  <c r="Q67" i="25"/>
  <c r="Q68" i="25"/>
  <c r="O64" i="25"/>
  <c r="R64" i="25"/>
  <c r="J65" i="25"/>
  <c r="J66" i="25"/>
  <c r="J67" i="25"/>
  <c r="J68" i="25"/>
  <c r="J69" i="25"/>
  <c r="L24" i="25"/>
  <c r="L68" i="25" s="1"/>
  <c r="B68" i="25"/>
  <c r="G68" i="25" s="1"/>
  <c r="H23" i="25"/>
  <c r="L23" i="25"/>
  <c r="Q45" i="25"/>
  <c r="Q48" i="25" s="1"/>
  <c r="Q15" i="25"/>
  <c r="R23" i="25"/>
  <c r="A70" i="25"/>
  <c r="N70" i="25" s="1"/>
  <c r="B69" i="25"/>
  <c r="G69" i="25" s="1"/>
  <c r="D69" i="25"/>
  <c r="C15" i="25"/>
  <c r="C16" i="25" s="1"/>
  <c r="B64" i="25"/>
  <c r="G64" i="25" s="1"/>
  <c r="B65" i="25"/>
  <c r="G65" i="25" s="1"/>
  <c r="B66" i="25"/>
  <c r="G66" i="25" s="1"/>
  <c r="B67" i="25"/>
  <c r="G67" i="25" s="1"/>
  <c r="K23" i="25"/>
  <c r="J15" i="25"/>
  <c r="H15" i="25"/>
  <c r="O15" i="25"/>
  <c r="L15" i="25"/>
  <c r="D16" i="25"/>
  <c r="F70" i="25" l="1"/>
  <c r="L65" i="28"/>
  <c r="L66" i="28"/>
  <c r="L67" i="28"/>
  <c r="L68" i="28"/>
  <c r="L69" i="28"/>
  <c r="H16" i="28"/>
  <c r="O16" i="28"/>
  <c r="L16" i="28"/>
  <c r="L45" i="28" s="1"/>
  <c r="R16" i="28"/>
  <c r="R45" i="28" s="1"/>
  <c r="G68" i="28"/>
  <c r="K68" i="28"/>
  <c r="G64" i="28"/>
  <c r="K64" i="28"/>
  <c r="N47" i="28"/>
  <c r="N48" i="28"/>
  <c r="G70" i="28"/>
  <c r="K70" i="28"/>
  <c r="G67" i="28"/>
  <c r="K67" i="28"/>
  <c r="C16" i="28"/>
  <c r="G15" i="28"/>
  <c r="K15" i="28"/>
  <c r="A72" i="28"/>
  <c r="B71" i="28"/>
  <c r="Q71" i="28"/>
  <c r="J71" i="28"/>
  <c r="N71" i="28"/>
  <c r="D71" i="28"/>
  <c r="F71" i="28"/>
  <c r="H44" i="28"/>
  <c r="H24" i="28"/>
  <c r="F48" i="28"/>
  <c r="F47" i="28"/>
  <c r="G66" i="28"/>
  <c r="K66" i="28"/>
  <c r="H45" i="28"/>
  <c r="O70" i="28"/>
  <c r="R70" i="28"/>
  <c r="L70" i="28"/>
  <c r="K69" i="28"/>
  <c r="G69" i="28"/>
  <c r="K65" i="28"/>
  <c r="G65" i="28"/>
  <c r="Q47" i="28"/>
  <c r="Q48" i="28"/>
  <c r="J47" i="28"/>
  <c r="J48" i="28"/>
  <c r="J70" i="25"/>
  <c r="Q70" i="25"/>
  <c r="O69" i="25"/>
  <c r="R69" i="25"/>
  <c r="L69" i="25"/>
  <c r="L64" i="25"/>
  <c r="L65" i="25"/>
  <c r="L66" i="25"/>
  <c r="L67" i="25"/>
  <c r="K69" i="25"/>
  <c r="K67" i="25"/>
  <c r="K65" i="25"/>
  <c r="K66" i="25"/>
  <c r="K68" i="25"/>
  <c r="K64" i="25"/>
  <c r="L44" i="25"/>
  <c r="J48" i="25"/>
  <c r="F48" i="25"/>
  <c r="F47" i="25"/>
  <c r="O16" i="25"/>
  <c r="O43" i="25" s="1"/>
  <c r="R16" i="25"/>
  <c r="R45" i="25" s="1"/>
  <c r="H16" i="25"/>
  <c r="H44" i="25" s="1"/>
  <c r="L16" i="25"/>
  <c r="L45" i="25" s="1"/>
  <c r="G15" i="25"/>
  <c r="J47" i="25"/>
  <c r="N47" i="25"/>
  <c r="K15" i="25"/>
  <c r="Q47" i="25"/>
  <c r="A71" i="25"/>
  <c r="B70" i="25"/>
  <c r="G70" i="25" s="1"/>
  <c r="D70" i="25"/>
  <c r="N71" i="25" l="1"/>
  <c r="F71" i="25"/>
  <c r="H70" i="28"/>
  <c r="Q72" i="28"/>
  <c r="J72" i="28"/>
  <c r="A73" i="28"/>
  <c r="B72" i="28"/>
  <c r="D72" i="28"/>
  <c r="N72" i="28"/>
  <c r="F72" i="28"/>
  <c r="K16" i="28"/>
  <c r="G16" i="28"/>
  <c r="R40" i="28"/>
  <c r="R41" i="28" s="1"/>
  <c r="R43" i="28"/>
  <c r="R47" i="28" s="1"/>
  <c r="H66" i="28"/>
  <c r="H64" i="28"/>
  <c r="H67" i="28"/>
  <c r="H65" i="28"/>
  <c r="H69" i="28"/>
  <c r="H68" i="28"/>
  <c r="L40" i="28"/>
  <c r="L41" i="28" s="1"/>
  <c r="L43" i="28"/>
  <c r="L47" i="28" s="1"/>
  <c r="O43" i="28"/>
  <c r="O40" i="28"/>
  <c r="O41" i="28" s="1"/>
  <c r="O45" i="28"/>
  <c r="H71" i="28"/>
  <c r="R71" i="28"/>
  <c r="L71" i="28"/>
  <c r="O71" i="28"/>
  <c r="G71" i="28"/>
  <c r="K71" i="28"/>
  <c r="H43" i="28"/>
  <c r="H47" i="28" s="1"/>
  <c r="H40" i="28"/>
  <c r="H41" i="28" s="1"/>
  <c r="R70" i="25"/>
  <c r="Q71" i="25"/>
  <c r="J71" i="25"/>
  <c r="L70" i="25"/>
  <c r="O70" i="25"/>
  <c r="K70" i="25"/>
  <c r="H45" i="25"/>
  <c r="H24" i="25"/>
  <c r="H66" i="25" s="1"/>
  <c r="H43" i="25"/>
  <c r="L40" i="25"/>
  <c r="L41" i="25" s="1"/>
  <c r="H40" i="25"/>
  <c r="H41" i="25" s="1"/>
  <c r="L43" i="25"/>
  <c r="L47" i="25" s="1"/>
  <c r="R40" i="25"/>
  <c r="R41" i="25" s="1"/>
  <c r="O45" i="25"/>
  <c r="O47" i="25" s="1"/>
  <c r="R43" i="25"/>
  <c r="R47" i="25" s="1"/>
  <c r="O40" i="25"/>
  <c r="O41" i="25" s="1"/>
  <c r="G16" i="25"/>
  <c r="G43" i="25" s="1"/>
  <c r="K16" i="25"/>
  <c r="A72" i="25"/>
  <c r="B71" i="25"/>
  <c r="G71" i="25" s="1"/>
  <c r="D71" i="25"/>
  <c r="N72" i="25" l="1"/>
  <c r="F72" i="25"/>
  <c r="O47" i="28"/>
  <c r="L48" i="28"/>
  <c r="R48" i="28"/>
  <c r="O48" i="28"/>
  <c r="K40" i="28"/>
  <c r="K41" i="28" s="1"/>
  <c r="K43" i="28"/>
  <c r="K44" i="28"/>
  <c r="G72" i="28"/>
  <c r="K72" i="28"/>
  <c r="Q73" i="28"/>
  <c r="J73" i="28"/>
  <c r="A74" i="28"/>
  <c r="B73" i="28"/>
  <c r="D73" i="28"/>
  <c r="N73" i="28"/>
  <c r="F73" i="28"/>
  <c r="H48" i="28"/>
  <c r="G43" i="28"/>
  <c r="G40" i="28"/>
  <c r="G41" i="28" s="1"/>
  <c r="G44" i="28"/>
  <c r="R72" i="28"/>
  <c r="L72" i="28"/>
  <c r="O72" i="28"/>
  <c r="H72" i="28"/>
  <c r="H71" i="25"/>
  <c r="H70" i="25"/>
  <c r="H67" i="25"/>
  <c r="H65" i="25"/>
  <c r="H69" i="25"/>
  <c r="H68" i="25"/>
  <c r="H64" i="25"/>
  <c r="Q72" i="25"/>
  <c r="J72" i="25"/>
  <c r="O71" i="25"/>
  <c r="R71" i="25"/>
  <c r="L71" i="25"/>
  <c r="K71" i="25"/>
  <c r="R48" i="25"/>
  <c r="L48" i="25"/>
  <c r="O48" i="25"/>
  <c r="K44" i="25"/>
  <c r="K40" i="25"/>
  <c r="K41" i="25" s="1"/>
  <c r="H48" i="25"/>
  <c r="H47" i="25"/>
  <c r="K43" i="25"/>
  <c r="G44" i="25"/>
  <c r="G40" i="25"/>
  <c r="G41" i="25" s="1"/>
  <c r="A73" i="25"/>
  <c r="B72" i="25"/>
  <c r="G72" i="25" s="1"/>
  <c r="D72" i="25"/>
  <c r="H72" i="25" s="1"/>
  <c r="N73" i="25" l="1"/>
  <c r="F73" i="25"/>
  <c r="K47" i="28"/>
  <c r="J74" i="28"/>
  <c r="A75" i="28"/>
  <c r="B74" i="28"/>
  <c r="Q74" i="28"/>
  <c r="D74" i="28"/>
  <c r="N74" i="28"/>
  <c r="F74" i="28"/>
  <c r="G48" i="28"/>
  <c r="G47" i="28"/>
  <c r="O73" i="28"/>
  <c r="H73" i="28"/>
  <c r="R73" i="28"/>
  <c r="L73" i="28"/>
  <c r="K73" i="28"/>
  <c r="G73" i="28"/>
  <c r="K48" i="28"/>
  <c r="Q73" i="25"/>
  <c r="J73" i="25"/>
  <c r="O72" i="25"/>
  <c r="R72" i="25"/>
  <c r="L72" i="25"/>
  <c r="K72" i="25"/>
  <c r="G48" i="25"/>
  <c r="K48" i="25"/>
  <c r="K47" i="25"/>
  <c r="G47" i="25"/>
  <c r="B73" i="25"/>
  <c r="G73" i="25" s="1"/>
  <c r="A74" i="25"/>
  <c r="D73" i="25"/>
  <c r="H73" i="25" s="1"/>
  <c r="N74" i="25" l="1"/>
  <c r="F74" i="25"/>
  <c r="G74" i="28"/>
  <c r="K74" i="28"/>
  <c r="A76" i="28"/>
  <c r="B75" i="28"/>
  <c r="Q75" i="28"/>
  <c r="J75" i="28"/>
  <c r="N75" i="28"/>
  <c r="D75" i="28"/>
  <c r="F75" i="28"/>
  <c r="O74" i="28"/>
  <c r="H74" i="28"/>
  <c r="R74" i="28"/>
  <c r="L74" i="28"/>
  <c r="Q74" i="25"/>
  <c r="J74" i="25"/>
  <c r="O73" i="25"/>
  <c r="R73" i="25"/>
  <c r="L73" i="25"/>
  <c r="K73" i="25"/>
  <c r="A75" i="25"/>
  <c r="B74" i="25"/>
  <c r="G74" i="25" s="1"/>
  <c r="D74" i="25"/>
  <c r="H74" i="25" s="1"/>
  <c r="F75" i="25" l="1"/>
  <c r="N75" i="25"/>
  <c r="H75" i="28"/>
  <c r="R75" i="28"/>
  <c r="L75" i="28"/>
  <c r="O75" i="28"/>
  <c r="G75" i="28"/>
  <c r="K75" i="28"/>
  <c r="Q76" i="28"/>
  <c r="J76" i="28"/>
  <c r="B76" i="28"/>
  <c r="N76" i="28"/>
  <c r="D76" i="28"/>
  <c r="F76" i="28"/>
  <c r="J75" i="25"/>
  <c r="Q75" i="25"/>
  <c r="O74" i="25"/>
  <c r="R74" i="25"/>
  <c r="L74" i="25"/>
  <c r="K74" i="25"/>
  <c r="B75" i="25"/>
  <c r="G75" i="25" s="1"/>
  <c r="A76" i="25"/>
  <c r="D75" i="25"/>
  <c r="H75" i="25" s="1"/>
  <c r="F76" i="25" l="1"/>
  <c r="N76" i="25"/>
  <c r="G76" i="28"/>
  <c r="K76" i="28"/>
  <c r="R76" i="28"/>
  <c r="L76" i="28"/>
  <c r="O76" i="28"/>
  <c r="H76" i="28"/>
  <c r="Q76" i="25"/>
  <c r="J76" i="25"/>
  <c r="O75" i="25"/>
  <c r="R75" i="25"/>
  <c r="L75" i="25"/>
  <c r="K75" i="25"/>
  <c r="B76" i="25"/>
  <c r="G76" i="25" s="1"/>
  <c r="D76" i="25"/>
  <c r="H76" i="25" s="1"/>
  <c r="O76" i="25" l="1"/>
  <c r="R76" i="25"/>
  <c r="L76" i="25"/>
  <c r="K7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Economics Department</author>
    <author>Johanns, Ann M [ECONA]</author>
    <author>edwards</author>
    <author>William Edwards</author>
    <author xml:space="preserve">Edwards, William M </author>
    <author>Ann Johanns</author>
  </authors>
  <commentList>
    <comment ref="A5" authorId="0" shapeId="0" xr:uid="{00000000-0006-0000-0000-000001000000}">
      <text>
        <r>
          <rPr>
            <sz val="8"/>
            <color indexed="81"/>
            <rFont val="Tahoma"/>
            <family val="2"/>
          </rPr>
          <t>Place the cursor over cells with red triangles to read comments.</t>
        </r>
      </text>
    </comment>
    <comment ref="A12" authorId="1" shapeId="0" xr:uid="{00000000-0006-0000-0000-000002000000}">
      <text>
        <r>
          <rPr>
            <sz val="9"/>
            <color indexed="81"/>
            <rFont val="Tahoma"/>
            <charset val="1"/>
          </rPr>
          <t>Leave inputs blank for late planting considerations.</t>
        </r>
      </text>
    </comment>
    <comment ref="C12" authorId="2" shapeId="0" xr:uid="{00000000-0006-0000-0000-000003000000}">
      <text>
        <r>
          <rPr>
            <b/>
            <sz val="9"/>
            <color indexed="81"/>
            <rFont val="Tahoma"/>
            <charset val="1"/>
          </rPr>
          <t>Leave this cell blank if the crop 
has not been planted yet.</t>
        </r>
      </text>
    </comment>
    <comment ref="D12" authorId="2" shapeId="0" xr:uid="{00000000-0006-0000-0000-000004000000}">
      <text>
        <r>
          <rPr>
            <b/>
            <sz val="9"/>
            <color indexed="81"/>
            <rFont val="Tahoma"/>
            <charset val="1"/>
          </rPr>
          <t>Leave this cell blank if the crop 
has not been planted yet.</t>
        </r>
      </text>
    </comment>
    <comment ref="A13" authorId="3" shapeId="0" xr:uid="{00000000-0006-0000-0000-000005000000}">
      <text>
        <r>
          <rPr>
            <sz val="9"/>
            <color indexed="81"/>
            <rFont val="Tahoma"/>
            <family val="2"/>
          </rPr>
          <t>This affects the estimated soybean yield.</t>
        </r>
      </text>
    </comment>
    <comment ref="J15" authorId="3" shapeId="0" xr:uid="{00000000-0006-0000-0000-000006000000}">
      <text>
        <r>
          <rPr>
            <sz val="9"/>
            <color indexed="81"/>
            <rFont val="Tahoma"/>
            <family val="2"/>
          </rPr>
          <t>After the final planting date a cover 
crop only can be planted and an 
indemnity payment equal to 60% of 
the original guarantee is paid.</t>
        </r>
      </text>
    </comment>
    <comment ref="Q15" authorId="3" shapeId="0" xr:uid="{00000000-0006-0000-0000-000007000000}">
      <text>
        <r>
          <rPr>
            <sz val="9"/>
            <color indexed="81"/>
            <rFont val="Tahoma"/>
            <family val="2"/>
          </rPr>
          <t>After the final planting date a cover 
crop only can be planted and an 
indemnity payment equal to 60% of 
the original guarantee is paid.</t>
        </r>
      </text>
    </comment>
    <comment ref="A18" authorId="3" shapeId="0" xr:uid="{00000000-0006-0000-0000-000008000000}">
      <text>
        <r>
          <rPr>
            <sz val="9"/>
            <color indexed="81"/>
            <rFont val="Tahoma"/>
            <family val="2"/>
          </rPr>
          <t>Group insurance policies such as 
ARPI do not carry replant or prevented 
planting payment provisions.</t>
        </r>
      </text>
    </comment>
    <comment ref="C20" authorId="4" shapeId="0" xr:uid="{00000000-0006-0000-0000-000009000000}">
      <text>
        <r>
          <rPr>
            <sz val="9"/>
            <color indexed="81"/>
            <rFont val="Tahoma"/>
            <family val="2"/>
          </rPr>
          <t>For Yield Protection insurance only. Enter a value 
between 60 and 100, in increments of 5%</t>
        </r>
      </text>
    </comment>
    <comment ref="D20" authorId="4" shapeId="0" xr:uid="{00000000-0006-0000-0000-00000A000000}">
      <text>
        <r>
          <rPr>
            <sz val="9"/>
            <color indexed="81"/>
            <rFont val="Tahoma"/>
            <family val="2"/>
          </rPr>
          <t>For Yield Protection insurance only. Enter a value 
between 60 and 100, in increments of 5%</t>
        </r>
      </text>
    </comment>
    <comment ref="C21" authorId="3" shapeId="0" xr:uid="{00000000-0006-0000-0000-00000B000000}">
      <text>
        <r>
          <rPr>
            <sz val="9"/>
            <color indexed="81"/>
            <rFont val="Tahoma"/>
            <family val="2"/>
          </rPr>
          <t>This price is based on the average 
futures price in February.</t>
        </r>
      </text>
    </comment>
    <comment ref="D21" authorId="3" shapeId="0" xr:uid="{00000000-0006-0000-0000-00000C000000}">
      <text>
        <r>
          <rPr>
            <sz val="9"/>
            <color indexed="81"/>
            <rFont val="Tahoma"/>
            <family val="2"/>
          </rPr>
          <t>This price is based on the average 
futures price in February.</t>
        </r>
      </text>
    </comment>
    <comment ref="C22" authorId="4" shapeId="0" xr:uid="{00000000-0006-0000-0000-00000D000000}">
      <text>
        <r>
          <rPr>
            <sz val="9"/>
            <color indexed="81"/>
            <rFont val="Tahoma"/>
            <family val="2"/>
          </rPr>
          <t>For Catastrophic insurance only 
a 50% guarantee is available.</t>
        </r>
      </text>
    </comment>
    <comment ref="D22" authorId="4" shapeId="0" xr:uid="{00000000-0006-0000-0000-00000E000000}">
      <text>
        <r>
          <rPr>
            <sz val="9"/>
            <color indexed="81"/>
            <rFont val="Tahoma"/>
            <family val="2"/>
          </rPr>
          <t>For Catastrophic insurance only 
a 50% guarantee is available.</t>
        </r>
      </text>
    </comment>
    <comment ref="H23" authorId="3" shapeId="0" xr:uid="{00000000-0006-0000-0000-00000F000000}">
      <text>
        <r>
          <rPr>
            <sz val="9"/>
            <color indexed="81"/>
            <rFont val="Tahoma"/>
            <family val="2"/>
          </rPr>
          <t xml:space="preserve">Original </t>
        </r>
        <r>
          <rPr>
            <b/>
            <sz val="9"/>
            <color indexed="81"/>
            <rFont val="Tahoma"/>
            <family val="2"/>
          </rPr>
          <t>soybean</t>
        </r>
        <r>
          <rPr>
            <sz val="9"/>
            <color indexed="81"/>
            <rFont val="Tahoma"/>
            <family val="2"/>
          </rPr>
          <t xml:space="preserve"> guarantee is reduced 1% each day after 
the final soybean planting date, then to 60% of the original 
guarantee after the late planting period.</t>
        </r>
      </text>
    </comment>
    <comment ref="J23" authorId="3" shapeId="0" xr:uid="{00000000-0006-0000-0000-000010000000}">
      <text>
        <r>
          <rPr>
            <sz val="9"/>
            <color indexed="81"/>
            <rFont val="Tahoma"/>
            <family val="2"/>
          </rPr>
          <t>Prevented planting coverage is 
55% of the original guarantee.</t>
        </r>
      </text>
    </comment>
    <comment ref="K23" authorId="3" shapeId="0" xr:uid="{00000000-0006-0000-0000-000011000000}">
      <text>
        <r>
          <rPr>
            <sz val="9"/>
            <color indexed="81"/>
            <rFont val="Tahoma"/>
            <family val="2"/>
          </rPr>
          <t>Original guarantee is reduced 1% each 
day after the final planting date, then to 
55% of the original guarantee after the 
late planting period.</t>
        </r>
      </text>
    </comment>
    <comment ref="L23" authorId="3" shapeId="0" xr:uid="{00000000-0006-0000-0000-000012000000}">
      <text>
        <r>
          <rPr>
            <sz val="9"/>
            <color indexed="81"/>
            <rFont val="Tahoma"/>
            <family val="2"/>
          </rPr>
          <t xml:space="preserve">Original </t>
        </r>
        <r>
          <rPr>
            <b/>
            <sz val="9"/>
            <color indexed="81"/>
            <rFont val="Tahoma"/>
            <family val="2"/>
          </rPr>
          <t>soybean</t>
        </r>
        <r>
          <rPr>
            <sz val="9"/>
            <color indexed="81"/>
            <rFont val="Tahoma"/>
            <family val="2"/>
          </rPr>
          <t xml:space="preserve"> guarantee is reduced 1% each day after 
the final soybean planting date, then to 60% of the original 
guarantee after the late planting period.</t>
        </r>
      </text>
    </comment>
    <comment ref="Q23" authorId="3" shapeId="0" xr:uid="{00000000-0006-0000-0000-000013000000}">
      <text>
        <r>
          <rPr>
            <sz val="9"/>
            <color indexed="81"/>
            <rFont val="Tahoma"/>
            <family val="2"/>
          </rPr>
          <t>Prevented planting coverage is 
60% of the original guarantee.</t>
        </r>
      </text>
    </comment>
    <comment ref="R23" authorId="3" shapeId="0" xr:uid="{00000000-0006-0000-0000-000014000000}">
      <text>
        <r>
          <rPr>
            <sz val="9"/>
            <color indexed="81"/>
            <rFont val="Tahoma"/>
            <family val="2"/>
          </rPr>
          <t>Original guarantee is reduced 1% each 
day after the final planting date, then to 
60% of the original guarantee after the 
late planting period.</t>
        </r>
      </text>
    </comment>
    <comment ref="F25" authorId="2" shapeId="0" xr:uid="{00000000-0006-0000-0000-000015000000}">
      <text>
        <r>
          <rPr>
            <sz val="9"/>
            <color indexed="81"/>
            <rFont val="Tahoma"/>
            <family val="2"/>
          </rPr>
          <t>If the appraised yield after damage is 90% or less of the APH yield, 
and the date is June 10 or earlier, the crop is deemed "practical to replant". 
Coverage may be cancelled if crop is not replanted to corn or soybeans.</t>
        </r>
      </text>
    </comment>
    <comment ref="G25" authorId="2" shapeId="0" xr:uid="{00000000-0006-0000-0000-000016000000}">
      <text>
        <r>
          <rPr>
            <sz val="9"/>
            <color indexed="81"/>
            <rFont val="Tahoma"/>
            <family val="2"/>
          </rPr>
          <t>If the appraised yield after damage is 90% or less of the APH yield, 
and the date is June 10 or earlier, the crop is deemed "practical to replant". 
Coverage may be cancelled if crop is not replanted to corn or soybeans.</t>
        </r>
      </text>
    </comment>
    <comment ref="H25" authorId="2" shapeId="0" xr:uid="{00000000-0006-0000-0000-000017000000}">
      <text>
        <r>
          <rPr>
            <sz val="9"/>
            <color indexed="81"/>
            <rFont val="Tahoma"/>
            <family val="2"/>
          </rPr>
          <t>If the appraised yield after damage is 90% or less of the APH yield, 
and the date is June 10 or earlier, the crop is deemed "practical to replant". 
Coverage may be cancelled if crop is not replanted to corn or soybeans.</t>
        </r>
      </text>
    </comment>
    <comment ref="N25" authorId="2" shapeId="0" xr:uid="{00000000-0006-0000-0000-000018000000}">
      <text>
        <r>
          <rPr>
            <sz val="9"/>
            <color indexed="81"/>
            <rFont val="Tahoma"/>
            <family val="2"/>
          </rPr>
          <t>If the appraised yield after damage is 90% or less of the APH yield, 
and the date is June 25 or earlier, the crop is deemed "practical to replant". 
Coverage may be cancelled if crop is not replanted.</t>
        </r>
      </text>
    </comment>
    <comment ref="O25" authorId="2" shapeId="0" xr:uid="{00000000-0006-0000-0000-000019000000}">
      <text>
        <r>
          <rPr>
            <sz val="9"/>
            <color indexed="81"/>
            <rFont val="Tahoma"/>
            <family val="2"/>
          </rPr>
          <t>If the appraised yield after damage is 90% or less of the APH yield, 
and the date is June 25 or earlier, the crop is deemed "practical to replant". 
Coverage may be cancelled if crop is not replanted.</t>
        </r>
      </text>
    </comment>
    <comment ref="F27" authorId="3" shapeId="0" xr:uid="{00000000-0006-0000-0000-00001A000000}">
      <text>
        <r>
          <rPr>
            <sz val="9"/>
            <color indexed="81"/>
            <rFont val="Tahoma"/>
            <family val="2"/>
          </rPr>
          <t>Include only costs for planting or replanting 
that have not already been incurred.</t>
        </r>
      </text>
    </comment>
    <comment ref="J27" authorId="3" shapeId="0" xr:uid="{00000000-0006-0000-0000-00001B000000}">
      <text>
        <r>
          <rPr>
            <sz val="9"/>
            <color indexed="81"/>
            <rFont val="Tahoma"/>
            <family val="2"/>
          </rPr>
          <t>Include only costs for planting or replanting 
that have not already been incurred.</t>
        </r>
      </text>
    </comment>
    <comment ref="N27" authorId="3" shapeId="0" xr:uid="{00000000-0006-0000-0000-00001C000000}">
      <text>
        <r>
          <rPr>
            <sz val="9"/>
            <color indexed="81"/>
            <rFont val="Tahoma"/>
            <family val="2"/>
          </rPr>
          <t>Include only costs for planting or replanting 
that have not already been incurred.</t>
        </r>
      </text>
    </comment>
    <comment ref="Q27" authorId="3" shapeId="0" xr:uid="{00000000-0006-0000-0000-00001D000000}">
      <text>
        <r>
          <rPr>
            <sz val="9"/>
            <color indexed="81"/>
            <rFont val="Tahoma"/>
            <family val="2"/>
          </rPr>
          <t>Include only costs for planting or replanting 
that have not already been incurred.</t>
        </r>
      </text>
    </comment>
    <comment ref="C39" authorId="5" shapeId="0" xr:uid="{00000000-0006-0000-0000-00001E000000}">
      <text>
        <r>
          <rPr>
            <sz val="8"/>
            <color indexed="81"/>
            <rFont val="Tahoma"/>
            <family val="2"/>
          </rPr>
          <t>Enter cost for drying and handling late planted corn. 
May be more than for corn planted early.</t>
        </r>
      </text>
    </comment>
    <comment ref="F44" authorId="3" shapeId="0" xr:uid="{00000000-0006-0000-0000-00001F000000}">
      <text>
        <r>
          <rPr>
            <sz val="9"/>
            <color indexed="81"/>
            <rFont val="Tahoma"/>
            <family val="2"/>
          </rPr>
          <t>YP based on yield loss. RP and RP-HPE actual revenue based 
on actual yield and October futures price. RP guarantee uses 
the higher of the original projected price or the October futures 
price. If the crop is "practical to replant" (date is June 10 or before 
and appraised yield is less than 90% of APH yield), no insurance 
payment is made if the crop is not replanted to corn or planted 
to soybeans.</t>
        </r>
      </text>
    </comment>
    <comment ref="G44" authorId="3" shapeId="0" xr:uid="{00000000-0006-0000-0000-000020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H44" authorId="3" shapeId="0" xr:uid="{00000000-0006-0000-0000-000021000000}">
      <text>
        <r>
          <rPr>
            <sz val="9"/>
            <color indexed="81"/>
            <rFont val="Tahoma"/>
            <family val="2"/>
          </rPr>
          <t>Indemnity payment is equal to 35% of the 
corn payment if corn were harvested as is, 
plus the other 65% if this is larger than the 
indemnity payment from soybeans. If only 
35% of the corn payment is received, only 
35% of the corn premium is owed.</t>
        </r>
      </text>
    </comment>
    <comment ref="J44" authorId="3" shapeId="0" xr:uid="{00000000-0006-0000-0000-000022000000}">
      <text>
        <r>
          <rPr>
            <sz val="9"/>
            <color indexed="81"/>
            <rFont val="Tahoma"/>
            <family val="2"/>
          </rPr>
          <t>After the final planting date a cover crop 
only can be planted and an indemnity payment 
equal to 55% of the original guarantee is paid.</t>
        </r>
      </text>
    </comment>
    <comment ref="K44" authorId="3" shapeId="0" xr:uid="{00000000-0006-0000-0000-000023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L44" authorId="3" shapeId="0" xr:uid="{00000000-0006-0000-0000-000024000000}">
      <text>
        <r>
          <rPr>
            <sz val="9"/>
            <color indexed="81"/>
            <rFont val="Tahoma"/>
            <family val="2"/>
          </rPr>
          <t>After the end of the late planting period, 
an indemnity payment equal to 35% of 
the prevented planting payment is paid, 
and only 35% of the corn premium is due.</t>
        </r>
      </text>
    </comment>
    <comment ref="H45" authorId="3" shapeId="0" xr:uid="{00000000-0006-0000-0000-000025000000}">
      <text>
        <r>
          <rPr>
            <sz val="9"/>
            <color indexed="81"/>
            <rFont val="Tahoma"/>
            <family val="2"/>
          </rPr>
          <t>An indemnity payment may be received on 
soybeans if they are insured and it is larger 
than 65% of the corn indemnity payment 
that could be received.</t>
        </r>
      </text>
    </comment>
    <comment ref="L45" authorId="3" shapeId="0" xr:uid="{00000000-0006-0000-0000-000026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N45" authorId="3" shapeId="0" xr:uid="{00000000-0006-0000-0000-000027000000}">
      <text>
        <r>
          <rPr>
            <sz val="9"/>
            <color indexed="81"/>
            <rFont val="Tahoma"/>
            <family val="2"/>
          </rPr>
          <t>YP based on yield loss. RP and RP-HPE 
actual revenue based on actual yield and 
October futures price. RP guarantee uses 
the higher of the original projected price or 
the October futures price. If crop is "practical 
to replant" (date is June 25 or before and appraised yield is less than 90% of the APH yield), no insurance payment is made unless the crop is replanted.</t>
        </r>
      </text>
    </comment>
    <comment ref="O45" authorId="3" shapeId="0" xr:uid="{00000000-0006-0000-0000-000028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Q45" authorId="3" shapeId="0" xr:uid="{00000000-0006-0000-0000-000029000000}">
      <text>
        <r>
          <rPr>
            <sz val="9"/>
            <color indexed="81"/>
            <rFont val="Tahoma"/>
            <family val="2"/>
          </rPr>
          <t>After the final planting date a cover crop 
only can be planted and an indemnity 
payment equal to 60% of the original 
guarantee is paid.</t>
        </r>
      </text>
    </comment>
    <comment ref="R45" authorId="3" shapeId="0" xr:uid="{00000000-0006-0000-0000-00002A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G46" authorId="3" shapeId="0" xr:uid="{00000000-0006-0000-0000-00002B000000}">
      <text>
        <r>
          <rPr>
            <sz val="9"/>
            <color indexed="81"/>
            <rFont val="Tahoma"/>
            <family val="2"/>
          </rPr>
          <t xml:space="preserve">If the yield is projected to be less than 90% of the 
APH yield, a replant payment equal to the smaller 
of actual replanting costs or 8 bushels of corn x the corresponding indemnity price. No replant payment is 
made under an ARPI policy, or for corn planted before 
April 11.
</t>
        </r>
      </text>
    </comment>
    <comment ref="O46" authorId="3" shapeId="0" xr:uid="{00000000-0006-0000-0000-00002C000000}">
      <text>
        <r>
          <rPr>
            <sz val="9"/>
            <color indexed="81"/>
            <rFont val="Tahoma"/>
            <family val="2"/>
          </rPr>
          <t>If the yield is projected to be less than 90% of the APH yield, 
a replant payment equal to the smaller of actual replanting 
costs or 3 bushels of soybeans x the corresponding 
indemnity price. No replant payment is paid under an 
ARPI policy, or for soybeans planted before April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Economics Department</author>
    <author>Johanns, Ann M [ECONA]</author>
    <author>edwards</author>
    <author>William Edwards</author>
    <author xml:space="preserve">Edwards, William M </author>
    <author>Ann Johanns</author>
  </authors>
  <commentList>
    <comment ref="A5" authorId="0" shapeId="0" xr:uid="{00000000-0006-0000-0200-000001000000}">
      <text>
        <r>
          <rPr>
            <sz val="8"/>
            <color indexed="81"/>
            <rFont val="Tahoma"/>
            <family val="2"/>
          </rPr>
          <t>Place the cursor over cells with red triangles to read comments.</t>
        </r>
      </text>
    </comment>
    <comment ref="A12" authorId="1" shapeId="0" xr:uid="{00000000-0006-0000-0200-000002000000}">
      <text>
        <r>
          <rPr>
            <sz val="9"/>
            <color indexed="81"/>
            <rFont val="Tahoma"/>
            <charset val="1"/>
          </rPr>
          <t>Leave inputs blank for late planting considerations.</t>
        </r>
      </text>
    </comment>
    <comment ref="C12" authorId="2" shapeId="0" xr:uid="{00000000-0006-0000-0200-000003000000}">
      <text>
        <r>
          <rPr>
            <b/>
            <sz val="9"/>
            <color indexed="81"/>
            <rFont val="Tahoma"/>
            <charset val="1"/>
          </rPr>
          <t>Leave this cell blank if the crop 
has not been planted yet.</t>
        </r>
      </text>
    </comment>
    <comment ref="D12" authorId="2" shapeId="0" xr:uid="{00000000-0006-0000-0200-000004000000}">
      <text>
        <r>
          <rPr>
            <b/>
            <sz val="9"/>
            <color indexed="81"/>
            <rFont val="Tahoma"/>
            <charset val="1"/>
          </rPr>
          <t>Leave this cell blank if the crop 
has not been planted yet.</t>
        </r>
      </text>
    </comment>
    <comment ref="A13" authorId="3" shapeId="0" xr:uid="{00000000-0006-0000-0200-000005000000}">
      <text>
        <r>
          <rPr>
            <sz val="9"/>
            <color indexed="81"/>
            <rFont val="Tahoma"/>
            <family val="2"/>
          </rPr>
          <t>This affects the estimated soybean yield.</t>
        </r>
      </text>
    </comment>
    <comment ref="J15" authorId="3" shapeId="0" xr:uid="{00000000-0006-0000-0200-000006000000}">
      <text>
        <r>
          <rPr>
            <sz val="9"/>
            <color indexed="81"/>
            <rFont val="Tahoma"/>
            <family val="2"/>
          </rPr>
          <t>After the final planting date a cover 
crop only can be planted and an 
indemnity payment equal to 60% of 
the original guarantee is paid.</t>
        </r>
      </text>
    </comment>
    <comment ref="Q15" authorId="3" shapeId="0" xr:uid="{00000000-0006-0000-0200-000007000000}">
      <text>
        <r>
          <rPr>
            <sz val="9"/>
            <color indexed="81"/>
            <rFont val="Tahoma"/>
            <family val="2"/>
          </rPr>
          <t>After the final planting date a cover 
crop only can be planted and an 
indemnity payment equal to 60% of 
the original guarantee is paid.</t>
        </r>
      </text>
    </comment>
    <comment ref="A18" authorId="3" shapeId="0" xr:uid="{00000000-0006-0000-0200-000008000000}">
      <text>
        <r>
          <rPr>
            <sz val="9"/>
            <color indexed="81"/>
            <rFont val="Tahoma"/>
            <family val="2"/>
          </rPr>
          <t>Group insurance policies such as 
ARPI do not carry replant or prevented 
planting payment provisions.</t>
        </r>
      </text>
    </comment>
    <comment ref="C20" authorId="4" shapeId="0" xr:uid="{00000000-0006-0000-0200-000009000000}">
      <text>
        <r>
          <rPr>
            <sz val="9"/>
            <color indexed="81"/>
            <rFont val="Tahoma"/>
            <family val="2"/>
          </rPr>
          <t>For Yield Protection insurance only. Enter a value 
between 60 and 100, in increments of 5%</t>
        </r>
      </text>
    </comment>
    <comment ref="D20" authorId="4" shapeId="0" xr:uid="{00000000-0006-0000-0200-00000A000000}">
      <text>
        <r>
          <rPr>
            <sz val="9"/>
            <color indexed="81"/>
            <rFont val="Tahoma"/>
            <family val="2"/>
          </rPr>
          <t>For Yield Protection insurance only. Enter a value 
between 60 and 100, in increments of 5%</t>
        </r>
      </text>
    </comment>
    <comment ref="C21" authorId="3" shapeId="0" xr:uid="{00000000-0006-0000-0200-00000B000000}">
      <text>
        <r>
          <rPr>
            <sz val="9"/>
            <color indexed="81"/>
            <rFont val="Tahoma"/>
            <family val="2"/>
          </rPr>
          <t>This price is based on the average 
futures price in February.</t>
        </r>
      </text>
    </comment>
    <comment ref="D21" authorId="3" shapeId="0" xr:uid="{00000000-0006-0000-0200-00000C000000}">
      <text>
        <r>
          <rPr>
            <sz val="9"/>
            <color indexed="81"/>
            <rFont val="Tahoma"/>
            <family val="2"/>
          </rPr>
          <t>This price is based on the average 
futures price in February.</t>
        </r>
      </text>
    </comment>
    <comment ref="C22" authorId="4" shapeId="0" xr:uid="{00000000-0006-0000-0200-00000D000000}">
      <text>
        <r>
          <rPr>
            <sz val="9"/>
            <color indexed="81"/>
            <rFont val="Tahoma"/>
            <family val="2"/>
          </rPr>
          <t>For Catastrophic insurance only 
a 50% guarantee is available.</t>
        </r>
      </text>
    </comment>
    <comment ref="D22" authorId="4" shapeId="0" xr:uid="{00000000-0006-0000-0200-00000E000000}">
      <text>
        <r>
          <rPr>
            <sz val="9"/>
            <color indexed="81"/>
            <rFont val="Tahoma"/>
            <family val="2"/>
          </rPr>
          <t>For Catastrophic insurance only 
a 50% guarantee is available.</t>
        </r>
      </text>
    </comment>
    <comment ref="H23" authorId="3" shapeId="0" xr:uid="{00000000-0006-0000-0200-00000F000000}">
      <text>
        <r>
          <rPr>
            <sz val="9"/>
            <color indexed="81"/>
            <rFont val="Tahoma"/>
            <family val="2"/>
          </rPr>
          <t xml:space="preserve">Original </t>
        </r>
        <r>
          <rPr>
            <b/>
            <sz val="9"/>
            <color indexed="81"/>
            <rFont val="Tahoma"/>
            <family val="2"/>
          </rPr>
          <t>soybean</t>
        </r>
        <r>
          <rPr>
            <sz val="9"/>
            <color indexed="81"/>
            <rFont val="Tahoma"/>
            <family val="2"/>
          </rPr>
          <t xml:space="preserve"> guarantee is reduced 1% each day after 
the final soybean planting date, then to 60% of the original 
guarantee after the late planting period.</t>
        </r>
      </text>
    </comment>
    <comment ref="J23" authorId="3" shapeId="0" xr:uid="{00000000-0006-0000-0200-000010000000}">
      <text>
        <r>
          <rPr>
            <sz val="9"/>
            <color indexed="81"/>
            <rFont val="Tahoma"/>
            <family val="2"/>
          </rPr>
          <t>Prevented planting coverage is 
55% of the original guarantee.</t>
        </r>
      </text>
    </comment>
    <comment ref="K23" authorId="3" shapeId="0" xr:uid="{00000000-0006-0000-0200-000011000000}">
      <text>
        <r>
          <rPr>
            <sz val="9"/>
            <color indexed="81"/>
            <rFont val="Tahoma"/>
            <family val="2"/>
          </rPr>
          <t>Original guarantee is reduced 1% each 
day after the final planting date, then to 
55% of the original guarantee after the 
late planting period.</t>
        </r>
      </text>
    </comment>
    <comment ref="L23" authorId="3" shapeId="0" xr:uid="{00000000-0006-0000-0200-000012000000}">
      <text>
        <r>
          <rPr>
            <sz val="9"/>
            <color indexed="81"/>
            <rFont val="Tahoma"/>
            <family val="2"/>
          </rPr>
          <t xml:space="preserve">Original </t>
        </r>
        <r>
          <rPr>
            <b/>
            <sz val="9"/>
            <color indexed="81"/>
            <rFont val="Tahoma"/>
            <family val="2"/>
          </rPr>
          <t>soybean</t>
        </r>
        <r>
          <rPr>
            <sz val="9"/>
            <color indexed="81"/>
            <rFont val="Tahoma"/>
            <family val="2"/>
          </rPr>
          <t xml:space="preserve"> guarantee is reduced 1% each day after 
the final soybean planting date, then to 60% of the original 
guarantee after the late planting period.</t>
        </r>
      </text>
    </comment>
    <comment ref="Q23" authorId="3" shapeId="0" xr:uid="{00000000-0006-0000-0200-000013000000}">
      <text>
        <r>
          <rPr>
            <sz val="9"/>
            <color indexed="81"/>
            <rFont val="Tahoma"/>
            <family val="2"/>
          </rPr>
          <t>Prevented planting coverage is 
60% of the original guarantee.</t>
        </r>
      </text>
    </comment>
    <comment ref="R23" authorId="3" shapeId="0" xr:uid="{00000000-0006-0000-0200-000014000000}">
      <text>
        <r>
          <rPr>
            <sz val="9"/>
            <color indexed="81"/>
            <rFont val="Tahoma"/>
            <family val="2"/>
          </rPr>
          <t>Original guarantee is reduced 1% each 
day after the final planting date, then to 
60% of the original guarantee after the 
late planting period.</t>
        </r>
      </text>
    </comment>
    <comment ref="F25" authorId="2" shapeId="0" xr:uid="{00000000-0006-0000-0200-000015000000}">
      <text>
        <r>
          <rPr>
            <sz val="9"/>
            <color indexed="81"/>
            <rFont val="Tahoma"/>
            <family val="2"/>
          </rPr>
          <t>If the appraised yield after damage is 90% or less of the APH yield, 
and the date is June 10 or earlier, the crop is deemed "practical to replant". 
Coverage may be cancelled if crop is not replanted to corn or soybeans.</t>
        </r>
      </text>
    </comment>
    <comment ref="G25" authorId="2" shapeId="0" xr:uid="{00000000-0006-0000-0200-000016000000}">
      <text>
        <r>
          <rPr>
            <sz val="9"/>
            <color indexed="81"/>
            <rFont val="Tahoma"/>
            <family val="2"/>
          </rPr>
          <t>If the appraised yield after damage is 90% or less of the APH yield, 
and the date is June 10 or earlier, the crop is deemed "practical to replant". 
Coverage may be cancelled if crop is not replanted to corn or soybeans.</t>
        </r>
      </text>
    </comment>
    <comment ref="H25" authorId="2" shapeId="0" xr:uid="{00000000-0006-0000-0200-000017000000}">
      <text>
        <r>
          <rPr>
            <sz val="9"/>
            <color indexed="81"/>
            <rFont val="Tahoma"/>
            <family val="2"/>
          </rPr>
          <t>If the appraised yield after damage is 90% or less of the APH yield, 
and the date is June 10 or earlier, the crop is deemed "practical to replant". 
Coverage may be cancelled if crop is not replanted to corn or soybeans.</t>
        </r>
      </text>
    </comment>
    <comment ref="N25" authorId="2" shapeId="0" xr:uid="{00000000-0006-0000-0200-000018000000}">
      <text>
        <r>
          <rPr>
            <sz val="9"/>
            <color indexed="81"/>
            <rFont val="Tahoma"/>
            <family val="2"/>
          </rPr>
          <t>If the appraised yield after damage is 90% or less of the APH yield, 
and the date is June 25 or earlier, the crop is deemed "practical to replant". 
Coverage may be cancelled if crop is not replanted.</t>
        </r>
      </text>
    </comment>
    <comment ref="O25" authorId="2" shapeId="0" xr:uid="{00000000-0006-0000-0200-000019000000}">
      <text>
        <r>
          <rPr>
            <sz val="9"/>
            <color indexed="81"/>
            <rFont val="Tahoma"/>
            <family val="2"/>
          </rPr>
          <t>If the appraised yield after damage is 90% or less of the APH yield, 
and the date is June 25 or earlier, the crop is deemed "practical to replant". 
Coverage may be cancelled if crop is not replanted.</t>
        </r>
      </text>
    </comment>
    <comment ref="F27" authorId="3" shapeId="0" xr:uid="{00000000-0006-0000-0200-00001A000000}">
      <text>
        <r>
          <rPr>
            <sz val="9"/>
            <color indexed="81"/>
            <rFont val="Tahoma"/>
            <family val="2"/>
          </rPr>
          <t>Include only costs for planting or replanting 
that have not already been incurred.</t>
        </r>
      </text>
    </comment>
    <comment ref="J27" authorId="3" shapeId="0" xr:uid="{00000000-0006-0000-0200-00001B000000}">
      <text>
        <r>
          <rPr>
            <sz val="9"/>
            <color indexed="81"/>
            <rFont val="Tahoma"/>
            <family val="2"/>
          </rPr>
          <t>Include only costs for planting or replanting 
that have not already been incurred.</t>
        </r>
      </text>
    </comment>
    <comment ref="N27" authorId="3" shapeId="0" xr:uid="{00000000-0006-0000-0200-00001C000000}">
      <text>
        <r>
          <rPr>
            <sz val="9"/>
            <color indexed="81"/>
            <rFont val="Tahoma"/>
            <family val="2"/>
          </rPr>
          <t>Include only costs for planting or replanting 
that have not already been incurred.</t>
        </r>
      </text>
    </comment>
    <comment ref="Q27" authorId="3" shapeId="0" xr:uid="{00000000-0006-0000-0200-00001D000000}">
      <text>
        <r>
          <rPr>
            <sz val="9"/>
            <color indexed="81"/>
            <rFont val="Tahoma"/>
            <family val="2"/>
          </rPr>
          <t>Include only costs for planting or replanting 
that have not already been incurred.</t>
        </r>
      </text>
    </comment>
    <comment ref="C39" authorId="5" shapeId="0" xr:uid="{00000000-0006-0000-0200-00001E000000}">
      <text>
        <r>
          <rPr>
            <sz val="8"/>
            <color indexed="81"/>
            <rFont val="Tahoma"/>
            <family val="2"/>
          </rPr>
          <t>Enter cost for drying and handling late planted corn. 
May be more than for corn planted early.</t>
        </r>
      </text>
    </comment>
    <comment ref="F44" authorId="3" shapeId="0" xr:uid="{00000000-0006-0000-0200-00001F000000}">
      <text>
        <r>
          <rPr>
            <sz val="9"/>
            <color indexed="81"/>
            <rFont val="Tahoma"/>
            <family val="2"/>
          </rPr>
          <t>YP based on yield loss. RP and RP-HPE actual revenue based 
on actual yield and October futures price. RP guarantee uses 
the higher of the original projected price or the October futures 
price. If the crop is "practical to replant" (date is June 10 or before 
and appraised yield is less than 90% of APH yield), no insurance 
payment is made if the crop is not replanted to corn or planted 
to soybeans.</t>
        </r>
      </text>
    </comment>
    <comment ref="G44" authorId="3" shapeId="0" xr:uid="{00000000-0006-0000-0200-000020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H44" authorId="3" shapeId="0" xr:uid="{00000000-0006-0000-0200-000021000000}">
      <text>
        <r>
          <rPr>
            <sz val="9"/>
            <color indexed="81"/>
            <rFont val="Tahoma"/>
            <family val="2"/>
          </rPr>
          <t>Indemnity payment is equal to 35% of the 
corn payment if corn were harvested as is, 
plus the other 65% if this is larger than the 
indemnity payment from soybeans. If only 
35% of the corn payment is received, only 
35% of the corn premium is owed.</t>
        </r>
      </text>
    </comment>
    <comment ref="J44" authorId="3" shapeId="0" xr:uid="{00000000-0006-0000-0200-000022000000}">
      <text>
        <r>
          <rPr>
            <sz val="9"/>
            <color indexed="81"/>
            <rFont val="Tahoma"/>
            <family val="2"/>
          </rPr>
          <t>After the final planting date a cover crop 
only can be planted and an indemnity payment 
equal to 55% of the original guarantee is paid.</t>
        </r>
      </text>
    </comment>
    <comment ref="K44" authorId="3" shapeId="0" xr:uid="{00000000-0006-0000-0200-000023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L44" authorId="3" shapeId="0" xr:uid="{00000000-0006-0000-0200-000024000000}">
      <text>
        <r>
          <rPr>
            <sz val="9"/>
            <color indexed="81"/>
            <rFont val="Tahoma"/>
            <family val="2"/>
          </rPr>
          <t>After the end of the late planting period, 
an indemnity payment equal to 35% of 
the prevented planting payment is paid, 
and only 35% of the corn premium is due.</t>
        </r>
      </text>
    </comment>
    <comment ref="H45" authorId="3" shapeId="0" xr:uid="{00000000-0006-0000-0200-000025000000}">
      <text>
        <r>
          <rPr>
            <sz val="9"/>
            <color indexed="81"/>
            <rFont val="Tahoma"/>
            <family val="2"/>
          </rPr>
          <t>An indemnity payment may be received on 
soybeans if they are insured and it is larger 
than 65% of the corn indemnity payment 
that could be received.</t>
        </r>
      </text>
    </comment>
    <comment ref="L45" authorId="3" shapeId="0" xr:uid="{00000000-0006-0000-0200-000026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N45" authorId="3" shapeId="0" xr:uid="{00000000-0006-0000-0200-000027000000}">
      <text>
        <r>
          <rPr>
            <sz val="9"/>
            <color indexed="81"/>
            <rFont val="Tahoma"/>
            <family val="2"/>
          </rPr>
          <t>YP based on yield loss. RP and RP-HPE 
actual revenue based on actual yield and 
October futures price. RP guarantee uses 
the higher of the original projected price or 
the October futures price. If crop is "practical 
to replant" (date is June 25 or before and appraised yield is less than 90% of the APH yield), no insurance payment is made unless the crop is replanted.</t>
        </r>
      </text>
    </comment>
    <comment ref="O45" authorId="3" shapeId="0" xr:uid="{00000000-0006-0000-0200-000028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Q45" authorId="3" shapeId="0" xr:uid="{00000000-0006-0000-0200-000029000000}">
      <text>
        <r>
          <rPr>
            <sz val="9"/>
            <color indexed="81"/>
            <rFont val="Tahoma"/>
            <family val="2"/>
          </rPr>
          <t>After the final planting date a cover crop 
only can be planted and an indemnity 
payment equal to 60% of the original 
guarantee is paid.</t>
        </r>
      </text>
    </comment>
    <comment ref="R45" authorId="3" shapeId="0" xr:uid="{00000000-0006-0000-0200-00002A000000}">
      <text>
        <r>
          <rPr>
            <sz val="9"/>
            <color indexed="81"/>
            <rFont val="Tahoma"/>
            <family val="2"/>
          </rPr>
          <t>YP based on yield loss. RP and RP-HPE 
actual revenue based on actual yield and 
October futures price. RP guarantee uses 
the higher of the original projected price or 
the October futures price.</t>
        </r>
      </text>
    </comment>
    <comment ref="G46" authorId="3" shapeId="0" xr:uid="{00000000-0006-0000-0200-00002B000000}">
      <text>
        <r>
          <rPr>
            <sz val="9"/>
            <color indexed="81"/>
            <rFont val="Tahoma"/>
            <family val="2"/>
          </rPr>
          <t xml:space="preserve">If the yield is projected to be less than 90% of the 
APH yield, a replant payment equal to the smaller 
of actual replanting costs or 8 bushels of corn x the corresponding indemnity price. No replant payment is 
made under an ARPI policy, or for corn planted before 
April 11.
</t>
        </r>
      </text>
    </comment>
    <comment ref="O46" authorId="3" shapeId="0" xr:uid="{00000000-0006-0000-0200-00002C000000}">
      <text>
        <r>
          <rPr>
            <sz val="9"/>
            <color indexed="81"/>
            <rFont val="Tahoma"/>
            <family val="2"/>
          </rPr>
          <t>If the yield is projected to be less than 90% of the APH yield, 
a replant payment equal to the smaller of actual replanting 
costs or 3 bushels of soybeans x the corresponding 
indemnity price. No replant payment is paid under an 
ARPI policy, or for soybeans planted before April 21.</t>
        </r>
      </text>
    </comment>
  </commentList>
</comments>
</file>

<file path=xl/sharedStrings.xml><?xml version="1.0" encoding="utf-8"?>
<sst xmlns="http://schemas.openxmlformats.org/spreadsheetml/2006/main" count="261" uniqueCount="122">
  <si>
    <t>Corn</t>
  </si>
  <si>
    <t>Soybeans</t>
  </si>
  <si>
    <t>Fertilizer</t>
  </si>
  <si>
    <t>Fuel and oil, repairs</t>
  </si>
  <si>
    <t>Labor</t>
  </si>
  <si>
    <t>Corn Already Planted</t>
  </si>
  <si>
    <t>Added costs, only</t>
  </si>
  <si>
    <t>Expected soybean insurance payment</t>
  </si>
  <si>
    <t>Expected corn insurance payment</t>
  </si>
  <si>
    <t>Expected replant insurance payment</t>
  </si>
  <si>
    <t>Plant Late</t>
  </si>
  <si>
    <t>Soybeans Already Planted</t>
  </si>
  <si>
    <t>Soybeans Not Planted</t>
  </si>
  <si>
    <t>Corn Not Planted</t>
  </si>
  <si>
    <t>Expected harvest cash price, $ per bu.</t>
  </si>
  <si>
    <t>Guarantee adjusted for late planting date</t>
  </si>
  <si>
    <t>Custom hire charges</t>
  </si>
  <si>
    <t>Seed (include cover crop for prevented planting)</t>
  </si>
  <si>
    <t>Crop insurance premium (if second crop soybeans are insured)</t>
  </si>
  <si>
    <t>Herbicides</t>
  </si>
  <si>
    <t>Indemnity price, $ per bushel</t>
  </si>
  <si>
    <t>Crop insurance</t>
  </si>
  <si>
    <t>Expected revenue from cash sales</t>
  </si>
  <si>
    <t>Total added costs per acre</t>
  </si>
  <si>
    <t>Total expected revenue per acre</t>
  </si>
  <si>
    <t>Preharvest costs</t>
  </si>
  <si>
    <t>Harvest costs</t>
  </si>
  <si>
    <t>Insecticides and fungicides</t>
  </si>
  <si>
    <t>Central</t>
  </si>
  <si>
    <t>Southern</t>
  </si>
  <si>
    <t>Types of Crop Insurance</t>
  </si>
  <si>
    <t>Northern</t>
  </si>
  <si>
    <t>Soybean Zone</t>
  </si>
  <si>
    <t>Zone</t>
  </si>
  <si>
    <t>Planting Date</t>
  </si>
  <si>
    <t>Delayed Planting and Replanting Evaluator</t>
  </si>
  <si>
    <t>Soybean Yield Loss Coefficients</t>
  </si>
  <si>
    <t>Soybean</t>
  </si>
  <si>
    <t>Yield</t>
  </si>
  <si>
    <t>Replant Corn</t>
  </si>
  <si>
    <t>Added costs of production, $ per acre</t>
  </si>
  <si>
    <r>
      <t xml:space="preserve">Switch to </t>
    </r>
    <r>
      <rPr>
        <u/>
        <sz val="10"/>
        <rFont val="Arial"/>
        <family val="2"/>
      </rPr>
      <t>Soybeans</t>
    </r>
  </si>
  <si>
    <r>
      <t xml:space="preserve">Replant </t>
    </r>
    <r>
      <rPr>
        <u/>
        <sz val="10"/>
        <rFont val="Arial"/>
        <family val="2"/>
      </rPr>
      <t>Soybeans</t>
    </r>
  </si>
  <si>
    <r>
      <t xml:space="preserve">Prevented </t>
    </r>
    <r>
      <rPr>
        <u/>
        <sz val="10"/>
        <rFont val="Arial"/>
        <family val="2"/>
      </rPr>
      <t>Planting</t>
    </r>
  </si>
  <si>
    <r>
      <t>Switch to</t>
    </r>
    <r>
      <rPr>
        <u/>
        <sz val="10"/>
        <rFont val="Arial"/>
        <family val="2"/>
      </rPr>
      <t xml:space="preserve"> Soybeans</t>
    </r>
  </si>
  <si>
    <t>Place the cursor over cells with red triangles to read comments.</t>
  </si>
  <si>
    <t>Enter your input values in shaded cells.</t>
  </si>
  <si>
    <t>Author: William Edwards</t>
  </si>
  <si>
    <t>Date Printed:</t>
  </si>
  <si>
    <t>Indemnity Prices</t>
  </si>
  <si>
    <t>Date Squared</t>
  </si>
  <si>
    <t>Late Corn</t>
  </si>
  <si>
    <t>Early Corn</t>
  </si>
  <si>
    <t>Yield Protection</t>
  </si>
  <si>
    <t>Revenue Prot.</t>
  </si>
  <si>
    <t>Rev. Prot. HPE</t>
  </si>
  <si>
    <t>Expected October futures price, $ per bu.</t>
  </si>
  <si>
    <t>Type of crop insurance (YP, RP, RP-HPE)</t>
  </si>
  <si>
    <t>Catastrophic</t>
  </si>
  <si>
    <t>Yield or revenue guarantee, % elected</t>
  </si>
  <si>
    <t>Reference for estimated corn yields:</t>
  </si>
  <si>
    <t>http://www.agronext.iastate.edu/corn/cropmodel/yield.php</t>
  </si>
  <si>
    <t>http://www.extension.iastate.edu/Publications/PM1851.pdf</t>
  </si>
  <si>
    <t>Intercept</t>
  </si>
  <si>
    <t>Corn Yield Loss Coefficients</t>
  </si>
  <si>
    <t xml:space="preserve">% of MPCI </t>
  </si>
  <si>
    <t>Guarantee</t>
  </si>
  <si>
    <t>% of MPCI</t>
  </si>
  <si>
    <t>Ag Decision Maker -- Iowa State University Extension &amp; Outreach</t>
  </si>
  <si>
    <r>
      <rPr>
        <sz val="10"/>
        <rFont val="Arial"/>
        <family val="2"/>
      </rPr>
      <t>See Ag Decision Maker file A1-57 "</t>
    </r>
    <r>
      <rPr>
        <u/>
        <sz val="10"/>
        <color indexed="45"/>
        <rFont val="Arial"/>
        <family val="2"/>
      </rPr>
      <t>Delayed and Prevented Planting Provisions</t>
    </r>
    <r>
      <rPr>
        <sz val="10"/>
        <rFont val="Arial"/>
        <family val="2"/>
      </rPr>
      <t>" for more information.</t>
    </r>
  </si>
  <si>
    <r>
      <t xml:space="preserve">Harvest </t>
    </r>
    <r>
      <rPr>
        <u/>
        <sz val="10"/>
        <rFont val="Arial"/>
        <family val="2"/>
      </rPr>
      <t>soybeans as is</t>
    </r>
  </si>
  <si>
    <t>Data for charts</t>
  </si>
  <si>
    <r>
      <t xml:space="preserve">Harvest 
</t>
    </r>
    <r>
      <rPr>
        <u/>
        <sz val="10"/>
        <rFont val="Arial"/>
        <family val="2"/>
      </rPr>
      <t>corn as is</t>
    </r>
  </si>
  <si>
    <t>None, ARPI</t>
  </si>
  <si>
    <t>All zones</t>
  </si>
  <si>
    <t>(out of print)</t>
  </si>
  <si>
    <t>Estimated corn yield as percent of maximum</t>
  </si>
  <si>
    <t>May 10-15</t>
  </si>
  <si>
    <t>June 1</t>
  </si>
  <si>
    <t>June 10</t>
  </si>
  <si>
    <t>June 20</t>
  </si>
  <si>
    <t>July 1</t>
  </si>
  <si>
    <t>July 10</t>
  </si>
  <si>
    <t>Reference for estimated soybean yields (Table 5):</t>
  </si>
  <si>
    <t>Used to estimate yields by planting date.</t>
  </si>
  <si>
    <t>Date:</t>
  </si>
  <si>
    <t>Month</t>
  </si>
  <si>
    <t>Day</t>
  </si>
  <si>
    <t>RMA Final Planting Dates</t>
  </si>
  <si>
    <t>Beginning Dates for Planting Seasons</t>
  </si>
  <si>
    <t>Check that the current year is being used in the dates</t>
  </si>
  <si>
    <t>http://prodwebnlb.rma.usda.gov/apps/PriceDiscovery/GetPrices/YourPrice</t>
  </si>
  <si>
    <t>Check here for current indemnity prices.</t>
  </si>
  <si>
    <t>Iowa State University Extension and Outreach does not discriminate on the basis of age, disability, ethnicity, gender identity, genetic information, marital status, national origin, pregnancy, race, religion, sex, sexual orientation, socioeconomic status, or status as a U.S. veteran. (Not all prohibited bases apply to all programs.) Inquiries regarding non-discrimination policies may be directed to the Diversity Officer, 2150 Beardshear Hall, 515 Morrill Road, Ames, Iowa 50011, 515-294-1482, extdiversity@iastate.edu. All other inquiries may be directed to 800-262-3804.</t>
  </si>
  <si>
    <t>Choose Northern, Central, or Southern Iowa (soybeans only)</t>
  </si>
  <si>
    <t>Expected yield as % of normal (based on Iowa planting trials)</t>
  </si>
  <si>
    <t>Normal yield with timely planting, bushels / acre</t>
  </si>
  <si>
    <t>Appraised yield after crop damage, bushels / acre</t>
  </si>
  <si>
    <t>APH yield for crop insurance, bushels / acre</t>
  </si>
  <si>
    <t>Expected yield, bushels / acre</t>
  </si>
  <si>
    <r>
      <t xml:space="preserve">Drying, handling, hauling, cost </t>
    </r>
    <r>
      <rPr>
        <b/>
        <sz val="10"/>
        <rFont val="Arial"/>
        <family val="2"/>
      </rPr>
      <t>per bu</t>
    </r>
    <r>
      <rPr>
        <sz val="10"/>
        <rFont val="Arial"/>
        <family val="2"/>
      </rPr>
      <t>.</t>
    </r>
  </si>
  <si>
    <t>Expected Replanting or</t>
  </si>
  <si>
    <t>Expected replanting or planting date (mm/dd/yyyy)</t>
  </si>
  <si>
    <t>Expected return minus premiums and added costs per acre</t>
  </si>
  <si>
    <t>For Replant Decisions when</t>
  </si>
  <si>
    <t>Corn is Already Planted</t>
  </si>
  <si>
    <t>Corn is Not Planted</t>
  </si>
  <si>
    <t>Soybeans are Already Planted</t>
  </si>
  <si>
    <t>For Late Planting Decisions</t>
  </si>
  <si>
    <t>Soybeans are Not Planted</t>
  </si>
  <si>
    <t>For Late Planting Decisions when</t>
  </si>
  <si>
    <r>
      <t xml:space="preserve">Harvest
</t>
    </r>
    <r>
      <rPr>
        <b/>
        <u/>
        <sz val="10"/>
        <rFont val="Arial"/>
        <family val="2"/>
      </rPr>
      <t>corn as is</t>
    </r>
  </si>
  <si>
    <r>
      <t xml:space="preserve">Switch to </t>
    </r>
    <r>
      <rPr>
        <b/>
        <u/>
        <sz val="10"/>
        <rFont val="Arial"/>
        <family val="2"/>
      </rPr>
      <t>Soybeans</t>
    </r>
  </si>
  <si>
    <r>
      <t xml:space="preserve">Prevented </t>
    </r>
    <r>
      <rPr>
        <b/>
        <u/>
        <sz val="10"/>
        <rFont val="Arial"/>
        <family val="2"/>
      </rPr>
      <t>Planting</t>
    </r>
  </si>
  <si>
    <r>
      <t>Switch to</t>
    </r>
    <r>
      <rPr>
        <b/>
        <u/>
        <sz val="10"/>
        <rFont val="Arial"/>
        <family val="2"/>
      </rPr>
      <t xml:space="preserve"> Soybeans</t>
    </r>
  </si>
  <si>
    <r>
      <t xml:space="preserve">Harvest            </t>
    </r>
    <r>
      <rPr>
        <b/>
        <u/>
        <sz val="10"/>
        <rFont val="Arial"/>
        <family val="2"/>
      </rPr>
      <t xml:space="preserve"> crop as is</t>
    </r>
  </si>
  <si>
    <r>
      <t xml:space="preserve">Replant </t>
    </r>
    <r>
      <rPr>
        <b/>
        <u/>
        <sz val="10"/>
        <rFont val="Arial"/>
        <family val="2"/>
      </rPr>
      <t>Soybeans</t>
    </r>
  </si>
  <si>
    <t>MPCI Insurance premium, $ per acre</t>
  </si>
  <si>
    <t>Note: Update each year. Updated for 2019.</t>
  </si>
  <si>
    <t>Version 1.71_32019</t>
  </si>
  <si>
    <t>https://www.rma.usda.gov/RMALocal/Iowa</t>
  </si>
  <si>
    <t>RMA Regional Office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</si>
</sst>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0_);_(* \(#,##0.0\);_(* &quot;-&quot;??_);_(@_)"/>
    <numFmt numFmtId="165" formatCode="_(* #,##0_);_(* \(#,##0\);_(* &quot;-&quot;??_);_(@_)"/>
    <numFmt numFmtId="166" formatCode="[$-409]d\-mmm;@"/>
    <numFmt numFmtId="167" formatCode="m/d;@"/>
    <numFmt numFmtId="168" formatCode="0.0"/>
    <numFmt numFmtId="169" formatCode="m/d/yyyy;@"/>
  </numFmts>
  <fonts count="34" x14ac:knownFonts="1">
    <font>
      <sz val="10"/>
      <name val="Arial"/>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u/>
      <sz val="10"/>
      <color indexed="12"/>
      <name val="Arial"/>
      <family val="2"/>
    </font>
    <font>
      <sz val="8"/>
      <color indexed="81"/>
      <name val="Tahoma"/>
      <family val="2"/>
    </font>
    <font>
      <i/>
      <sz val="10"/>
      <name val="Arial"/>
      <family val="2"/>
    </font>
    <font>
      <sz val="11"/>
      <name val="Arial"/>
      <family val="2"/>
    </font>
    <font>
      <b/>
      <sz val="11"/>
      <name val="Arial"/>
      <family val="2"/>
    </font>
    <font>
      <u/>
      <sz val="10"/>
      <name val="Arial"/>
      <family val="2"/>
    </font>
    <font>
      <u val="singleAccounting"/>
      <sz val="10"/>
      <name val="Arial"/>
      <family val="2"/>
    </font>
    <font>
      <b/>
      <sz val="14"/>
      <color indexed="9"/>
      <name val="Arial"/>
      <family val="2"/>
    </font>
    <font>
      <b/>
      <sz val="11"/>
      <color indexed="63"/>
      <name val="Arial"/>
      <family val="2"/>
    </font>
    <font>
      <u/>
      <sz val="10"/>
      <color indexed="45"/>
      <name val="Arial"/>
      <family val="2"/>
    </font>
    <font>
      <sz val="9"/>
      <name val="Arial"/>
      <family val="2"/>
    </font>
    <font>
      <b/>
      <u/>
      <sz val="10"/>
      <name val="Arial"/>
      <family val="2"/>
    </font>
    <font>
      <sz val="9"/>
      <name val="Arial"/>
      <family val="2"/>
    </font>
    <font>
      <sz val="8"/>
      <color indexed="63"/>
      <name val="Arial"/>
      <family val="2"/>
    </font>
    <font>
      <sz val="8"/>
      <name val="Arial"/>
      <family val="2"/>
    </font>
    <font>
      <b/>
      <sz val="9"/>
      <name val="Arial"/>
      <family val="2"/>
    </font>
    <font>
      <sz val="10"/>
      <color theme="0"/>
      <name val="Arial"/>
      <family val="2"/>
    </font>
    <font>
      <sz val="10"/>
      <color rgb="FFFF0000"/>
      <name val="Arial"/>
      <family val="2"/>
    </font>
    <font>
      <sz val="9"/>
      <color theme="0"/>
      <name val="Arial"/>
      <family val="2"/>
    </font>
    <font>
      <b/>
      <sz val="14"/>
      <color rgb="FFFF0000"/>
      <name val="Arial"/>
      <family val="2"/>
    </font>
    <font>
      <sz val="11"/>
      <color rgb="FFFF0000"/>
      <name val="Arial"/>
      <family val="2"/>
    </font>
    <font>
      <sz val="9"/>
      <color indexed="81"/>
      <name val="Tahoma"/>
      <family val="2"/>
    </font>
    <font>
      <u/>
      <sz val="10"/>
      <color rgb="FFC00000"/>
      <name val="Arial"/>
      <family val="2"/>
    </font>
    <font>
      <b/>
      <sz val="9"/>
      <color indexed="81"/>
      <name val="Tahoma"/>
      <family val="2"/>
    </font>
    <font>
      <sz val="11"/>
      <color theme="0"/>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C00000"/>
        <bgColor indexed="64"/>
      </patternFill>
    </fill>
    <fill>
      <patternFill patternType="solid">
        <fgColor rgb="FFFFFFCC"/>
        <bgColor indexed="64"/>
      </patternFill>
    </fill>
    <fill>
      <patternFill patternType="solid">
        <fgColor theme="2" tint="-9.9978637043366805E-2"/>
        <bgColor indexed="64"/>
      </patternFill>
    </fill>
  </fills>
  <borders count="40">
    <border>
      <left/>
      <right/>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2" tint="-9.9948118533890809E-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7" fillId="0" borderId="0" applyNumberFormat="0" applyFill="0" applyBorder="0" applyAlignment="0" applyProtection="0">
      <alignment vertical="top"/>
      <protection locked="0"/>
    </xf>
    <xf numFmtId="9" fontId="4" fillId="0" borderId="0" applyFont="0" applyFill="0" applyBorder="0" applyAlignment="0" applyProtection="0"/>
  </cellStyleXfs>
  <cellXfs count="395">
    <xf numFmtId="0" fontId="0" fillId="0" borderId="0" xfId="0"/>
    <xf numFmtId="0" fontId="0" fillId="0" borderId="0" xfId="0" applyBorder="1"/>
    <xf numFmtId="0" fontId="0" fillId="0" borderId="1" xfId="0" applyBorder="1"/>
    <xf numFmtId="9" fontId="0" fillId="0" borderId="0" xfId="4" applyFont="1" applyBorder="1"/>
    <xf numFmtId="0" fontId="0" fillId="0" borderId="2" xfId="0" applyBorder="1"/>
    <xf numFmtId="0" fontId="0" fillId="0" borderId="3" xfId="0" applyBorder="1"/>
    <xf numFmtId="0" fontId="0" fillId="0" borderId="0" xfId="0" applyFill="1" applyBorder="1" applyAlignment="1"/>
    <xf numFmtId="44" fontId="0" fillId="0" borderId="0" xfId="0" applyNumberFormat="1"/>
    <xf numFmtId="2" fontId="0" fillId="0" borderId="0" xfId="0" applyNumberFormat="1" applyBorder="1" applyAlignment="1"/>
    <xf numFmtId="9" fontId="0" fillId="0" borderId="0" xfId="0" applyNumberFormat="1" applyBorder="1"/>
    <xf numFmtId="2" fontId="0" fillId="0" borderId="0" xfId="0" applyNumberFormat="1" applyBorder="1" applyAlignment="1">
      <alignment horizontal="left" indent="4"/>
    </xf>
    <xf numFmtId="0" fontId="9" fillId="0" borderId="0" xfId="0" applyFont="1" applyFill="1" applyBorder="1" applyAlignment="1">
      <alignment horizontal="centerContinuous"/>
    </xf>
    <xf numFmtId="0" fontId="9" fillId="0" borderId="0" xfId="0" applyFont="1" applyFill="1" applyBorder="1" applyAlignment="1">
      <alignment horizontal="center"/>
    </xf>
    <xf numFmtId="0" fontId="5" fillId="0" borderId="0" xfId="0" applyFont="1" applyBorder="1"/>
    <xf numFmtId="165" fontId="0" fillId="0" borderId="0" xfId="0" applyNumberFormat="1" applyBorder="1"/>
    <xf numFmtId="9" fontId="0" fillId="0" borderId="0" xfId="4" applyFont="1" applyFill="1" applyBorder="1"/>
    <xf numFmtId="0" fontId="0" fillId="0" borderId="0" xfId="0" applyBorder="1" applyAlignment="1">
      <alignment horizontal="right"/>
    </xf>
    <xf numFmtId="16" fontId="0" fillId="0" borderId="0" xfId="0" applyNumberFormat="1" applyBorder="1"/>
    <xf numFmtId="1" fontId="0" fillId="0" borderId="0" xfId="0" applyNumberFormat="1" applyBorder="1"/>
    <xf numFmtId="43" fontId="0" fillId="0" borderId="0" xfId="0" applyNumberFormat="1" applyBorder="1"/>
    <xf numFmtId="44" fontId="0" fillId="0" borderId="0" xfId="0" applyNumberFormat="1" applyBorder="1"/>
    <xf numFmtId="17" fontId="0" fillId="0" borderId="0" xfId="0" applyNumberFormat="1" applyBorder="1"/>
    <xf numFmtId="0" fontId="5" fillId="0" borderId="4" xfId="0" applyFont="1" applyBorder="1"/>
    <xf numFmtId="0" fontId="0" fillId="0" borderId="5" xfId="0" applyFill="1" applyBorder="1"/>
    <xf numFmtId="0" fontId="5" fillId="0" borderId="1" xfId="0" applyFont="1" applyBorder="1"/>
    <xf numFmtId="0" fontId="0" fillId="0" borderId="0" xfId="0" applyFill="1" applyBorder="1"/>
    <xf numFmtId="0" fontId="0" fillId="0" borderId="0" xfId="0" applyAlignment="1">
      <alignment horizontal="left"/>
    </xf>
    <xf numFmtId="9" fontId="0" fillId="0" borderId="0" xfId="0" applyNumberFormat="1" applyBorder="1" applyAlignment="1">
      <alignment horizontal="left"/>
    </xf>
    <xf numFmtId="0" fontId="0" fillId="0" borderId="0" xfId="0" applyFill="1" applyBorder="1" applyAlignment="1">
      <alignment horizontal="left"/>
    </xf>
    <xf numFmtId="0" fontId="10" fillId="0" borderId="0" xfId="0" applyFont="1"/>
    <xf numFmtId="0" fontId="10" fillId="0" borderId="0" xfId="0" applyFont="1" applyProtection="1"/>
    <xf numFmtId="0" fontId="10" fillId="0" borderId="4" xfId="0" applyFont="1" applyBorder="1"/>
    <xf numFmtId="0" fontId="13" fillId="0" borderId="0" xfId="0" applyFont="1" applyProtection="1"/>
    <xf numFmtId="43" fontId="13" fillId="0" borderId="0" xfId="1" applyFont="1" applyBorder="1" applyProtection="1"/>
    <xf numFmtId="43" fontId="13" fillId="0" borderId="6" xfId="1" applyFont="1" applyBorder="1" applyProtection="1"/>
    <xf numFmtId="43" fontId="13" fillId="0" borderId="7" xfId="1" applyFont="1" applyBorder="1" applyProtection="1"/>
    <xf numFmtId="0" fontId="6" fillId="0" borderId="0" xfId="0" applyFont="1" applyFill="1"/>
    <xf numFmtId="0" fontId="15" fillId="0" borderId="0" xfId="0" applyFont="1"/>
    <xf numFmtId="0" fontId="5" fillId="0" borderId="0" xfId="0" applyFont="1"/>
    <xf numFmtId="0" fontId="6" fillId="0" borderId="0" xfId="0" applyFont="1"/>
    <xf numFmtId="0" fontId="7" fillId="0" borderId="0" xfId="3" applyFont="1" applyAlignment="1" applyProtection="1">
      <alignment wrapText="1"/>
    </xf>
    <xf numFmtId="0" fontId="17" fillId="0" borderId="0" xfId="0" applyFont="1" applyBorder="1" applyAlignment="1" applyProtection="1"/>
    <xf numFmtId="0" fontId="17" fillId="0" borderId="0" xfId="0" applyFont="1" applyFill="1" applyBorder="1" applyAlignment="1" applyProtection="1">
      <alignment horizontal="left"/>
    </xf>
    <xf numFmtId="0" fontId="17" fillId="0" borderId="0" xfId="0" applyFont="1" applyFill="1" applyBorder="1" applyAlignment="1" applyProtection="1"/>
    <xf numFmtId="0" fontId="16" fillId="0" borderId="0" xfId="3" applyFont="1" applyAlignment="1" applyProtection="1">
      <alignment horizontal="left"/>
    </xf>
    <xf numFmtId="0" fontId="6" fillId="0" borderId="0" xfId="0" applyFont="1" applyProtection="1"/>
    <xf numFmtId="43" fontId="13" fillId="0" borderId="9" xfId="1" applyFont="1" applyBorder="1" applyAlignment="1" applyProtection="1">
      <alignment vertical="top"/>
    </xf>
    <xf numFmtId="43" fontId="13" fillId="0" borderId="10" xfId="1" applyFont="1" applyBorder="1" applyAlignment="1" applyProtection="1">
      <alignment vertical="top"/>
    </xf>
    <xf numFmtId="43" fontId="13" fillId="0" borderId="11" xfId="1" applyFont="1" applyBorder="1" applyAlignment="1" applyProtection="1">
      <alignment vertical="top"/>
    </xf>
    <xf numFmtId="0" fontId="13" fillId="0" borderId="0" xfId="0" applyFont="1" applyAlignment="1" applyProtection="1">
      <alignment vertical="top"/>
    </xf>
    <xf numFmtId="43" fontId="13" fillId="0" borderId="0" xfId="1" applyFont="1" applyBorder="1" applyAlignment="1" applyProtection="1">
      <alignment vertical="top"/>
    </xf>
    <xf numFmtId="0" fontId="13" fillId="0" borderId="9" xfId="0" applyFont="1" applyBorder="1" applyAlignment="1" applyProtection="1">
      <alignment vertical="top"/>
    </xf>
    <xf numFmtId="0" fontId="10" fillId="0" borderId="0" xfId="0" applyFont="1" applyBorder="1" applyAlignment="1" applyProtection="1"/>
    <xf numFmtId="0" fontId="0" fillId="0" borderId="0" xfId="0" applyBorder="1" applyAlignment="1"/>
    <xf numFmtId="0" fontId="0" fillId="0" borderId="12" xfId="0" applyBorder="1" applyAlignment="1"/>
    <xf numFmtId="0" fontId="0" fillId="0" borderId="13" xfId="0" applyBorder="1" applyAlignment="1"/>
    <xf numFmtId="0" fontId="0" fillId="0" borderId="2" xfId="0" applyBorder="1" applyAlignment="1"/>
    <xf numFmtId="0" fontId="0" fillId="0" borderId="0" xfId="1" applyNumberFormat="1" applyFont="1" applyBorder="1" applyAlignment="1"/>
    <xf numFmtId="0" fontId="0" fillId="0" borderId="12" xfId="1" applyNumberFormat="1" applyFont="1" applyBorder="1" applyAlignment="1"/>
    <xf numFmtId="0" fontId="0" fillId="0" borderId="0" xfId="0" applyNumberFormat="1" applyBorder="1" applyAlignment="1">
      <alignment horizontal="right"/>
    </xf>
    <xf numFmtId="0" fontId="0" fillId="0" borderId="4" xfId="0" applyBorder="1"/>
    <xf numFmtId="0" fontId="5" fillId="0" borderId="0" xfId="0" applyFont="1" applyBorder="1" applyAlignment="1">
      <alignment horizontal="center"/>
    </xf>
    <xf numFmtId="0" fontId="12" fillId="0" borderId="0" xfId="0" applyFont="1" applyBorder="1" applyAlignment="1">
      <alignment horizontal="right"/>
    </xf>
    <xf numFmtId="0" fontId="12" fillId="0" borderId="12" xfId="0" applyFont="1" applyBorder="1" applyAlignment="1">
      <alignment horizontal="right"/>
    </xf>
    <xf numFmtId="0" fontId="5" fillId="0" borderId="12" xfId="0" applyFont="1" applyBorder="1" applyAlignment="1">
      <alignment horizontal="center"/>
    </xf>
    <xf numFmtId="44" fontId="0" fillId="0" borderId="0" xfId="2" applyFont="1" applyBorder="1"/>
    <xf numFmtId="44" fontId="0" fillId="0" borderId="12" xfId="2" applyFont="1" applyBorder="1"/>
    <xf numFmtId="44" fontId="0" fillId="0" borderId="0" xfId="2" applyFont="1" applyFill="1" applyBorder="1"/>
    <xf numFmtId="44" fontId="0" fillId="0" borderId="12" xfId="2" applyFont="1" applyFill="1" applyBorder="1"/>
    <xf numFmtId="44" fontId="0" fillId="0" borderId="13" xfId="2" applyFont="1" applyFill="1" applyBorder="1"/>
    <xf numFmtId="44" fontId="0" fillId="0" borderId="2" xfId="2" applyFont="1" applyFill="1" applyBorder="1"/>
    <xf numFmtId="0" fontId="10" fillId="0" borderId="8" xfId="0" applyFont="1" applyBorder="1"/>
    <xf numFmtId="0" fontId="5" fillId="0" borderId="15" xfId="0" applyFont="1" applyBorder="1" applyAlignment="1" applyProtection="1"/>
    <xf numFmtId="0" fontId="5" fillId="0" borderId="15" xfId="0" applyFont="1" applyBorder="1" applyProtection="1"/>
    <xf numFmtId="0" fontId="19" fillId="0" borderId="1" xfId="0" applyFont="1" applyBorder="1"/>
    <xf numFmtId="0" fontId="19" fillId="0" borderId="1" xfId="0" applyFont="1" applyBorder="1" applyAlignment="1">
      <alignment horizontal="left" wrapText="1"/>
    </xf>
    <xf numFmtId="0" fontId="17" fillId="0" borderId="9" xfId="0" applyFont="1" applyBorder="1" applyAlignment="1" applyProtection="1">
      <alignment horizontal="center"/>
    </xf>
    <xf numFmtId="0" fontId="17" fillId="0" borderId="10" xfId="0" applyFont="1" applyBorder="1" applyAlignment="1" applyProtection="1">
      <alignment horizontal="center"/>
    </xf>
    <xf numFmtId="0" fontId="17" fillId="0" borderId="11" xfId="0" applyFont="1" applyBorder="1" applyAlignment="1" applyProtection="1">
      <alignment horizontal="center"/>
    </xf>
    <xf numFmtId="0" fontId="17" fillId="0" borderId="0" xfId="0" applyFont="1" applyBorder="1" applyAlignment="1" applyProtection="1">
      <alignment horizontal="center"/>
    </xf>
    <xf numFmtId="0" fontId="17" fillId="0" borderId="0" xfId="0" applyFont="1" applyAlignment="1" applyProtection="1">
      <alignment horizontal="center"/>
    </xf>
    <xf numFmtId="0" fontId="17" fillId="0" borderId="0" xfId="0" applyFont="1" applyBorder="1" applyProtection="1"/>
    <xf numFmtId="0" fontId="25" fillId="0" borderId="0" xfId="0" applyFont="1"/>
    <xf numFmtId="0" fontId="17" fillId="0" borderId="1" xfId="0" applyFont="1" applyBorder="1"/>
    <xf numFmtId="44" fontId="6" fillId="0" borderId="12" xfId="2" applyFont="1" applyBorder="1"/>
    <xf numFmtId="0" fontId="0" fillId="0" borderId="0" xfId="0" applyFont="1" applyFill="1" applyBorder="1"/>
    <xf numFmtId="0" fontId="7" fillId="0" borderId="0" xfId="3" applyFill="1" applyBorder="1" applyAlignment="1" applyProtection="1"/>
    <xf numFmtId="0" fontId="7" fillId="0" borderId="0" xfId="3" applyAlignment="1" applyProtection="1"/>
    <xf numFmtId="0" fontId="6" fillId="0" borderId="0" xfId="0" applyFont="1" applyBorder="1" applyAlignment="1"/>
    <xf numFmtId="0" fontId="0" fillId="0" borderId="4" xfId="0" applyFill="1" applyBorder="1"/>
    <xf numFmtId="0" fontId="0" fillId="0" borderId="1" xfId="0" applyFill="1" applyBorder="1"/>
    <xf numFmtId="0" fontId="0" fillId="0" borderId="13" xfId="0" applyBorder="1" applyAlignment="1">
      <alignment horizontal="center"/>
    </xf>
    <xf numFmtId="0" fontId="0" fillId="0" borderId="2" xfId="0" applyBorder="1" applyAlignment="1">
      <alignment horizontal="center"/>
    </xf>
    <xf numFmtId="0" fontId="6" fillId="0" borderId="0" xfId="0" applyFont="1" applyAlignment="1">
      <alignment horizontal="center"/>
    </xf>
    <xf numFmtId="0" fontId="20" fillId="0" borderId="0" xfId="0" applyFont="1" applyAlignment="1">
      <alignment horizontal="left"/>
    </xf>
    <xf numFmtId="0" fontId="21" fillId="0" borderId="0" xfId="0" applyFont="1"/>
    <xf numFmtId="0" fontId="6" fillId="0" borderId="0"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0" fontId="14" fillId="4" borderId="36" xfId="0" applyFont="1" applyFill="1" applyBorder="1" applyAlignment="1"/>
    <xf numFmtId="0" fontId="11" fillId="0" borderId="0" xfId="0" applyFont="1" applyAlignment="1" applyProtection="1"/>
    <xf numFmtId="0" fontId="11" fillId="0" borderId="0" xfId="0" applyFont="1" applyProtection="1"/>
    <xf numFmtId="44" fontId="6" fillId="2" borderId="16" xfId="2" applyFont="1" applyFill="1" applyBorder="1" applyProtection="1">
      <protection locked="0"/>
    </xf>
    <xf numFmtId="44" fontId="6" fillId="2" borderId="17" xfId="2" applyFont="1" applyFill="1" applyBorder="1" applyProtection="1">
      <protection locked="0"/>
    </xf>
    <xf numFmtId="0" fontId="6" fillId="2" borderId="16" xfId="0" applyFont="1" applyFill="1" applyBorder="1" applyProtection="1">
      <protection locked="0"/>
    </xf>
    <xf numFmtId="0" fontId="6" fillId="2" borderId="17" xfId="0" applyFont="1" applyFill="1" applyBorder="1" applyProtection="1">
      <protection locked="0"/>
    </xf>
    <xf numFmtId="0" fontId="6" fillId="0" borderId="9" xfId="0" applyFont="1" applyBorder="1" applyProtection="1"/>
    <xf numFmtId="0" fontId="6" fillId="0" borderId="10" xfId="0" applyFont="1" applyBorder="1" applyProtection="1"/>
    <xf numFmtId="0" fontId="6" fillId="0" borderId="11" xfId="0" applyFont="1" applyBorder="1" applyProtection="1"/>
    <xf numFmtId="0" fontId="6" fillId="0" borderId="0" xfId="0" applyFont="1" applyBorder="1" applyProtection="1"/>
    <xf numFmtId="165" fontId="6" fillId="5" borderId="17" xfId="1" applyNumberFormat="1" applyFont="1" applyFill="1" applyBorder="1" applyAlignment="1" applyProtection="1">
      <protection locked="0"/>
    </xf>
    <xf numFmtId="16" fontId="6" fillId="0" borderId="10" xfId="0" applyNumberFormat="1" applyFont="1" applyBorder="1" applyProtection="1"/>
    <xf numFmtId="16" fontId="6" fillId="0" borderId="11" xfId="0" applyNumberFormat="1" applyFont="1" applyBorder="1" applyProtection="1"/>
    <xf numFmtId="16" fontId="6" fillId="0" borderId="0" xfId="0" applyNumberFormat="1" applyFont="1" applyBorder="1" applyProtection="1"/>
    <xf numFmtId="16" fontId="6" fillId="0" borderId="9" xfId="0" applyNumberFormat="1" applyFont="1" applyBorder="1" applyProtection="1"/>
    <xf numFmtId="9" fontId="6" fillId="0" borderId="0" xfId="4" applyFont="1" applyFill="1" applyBorder="1" applyProtection="1"/>
    <xf numFmtId="9" fontId="6" fillId="0" borderId="12" xfId="4" applyFont="1" applyFill="1" applyBorder="1" applyProtection="1"/>
    <xf numFmtId="9" fontId="6" fillId="0" borderId="10" xfId="0" applyNumberFormat="1" applyFont="1" applyBorder="1" applyProtection="1"/>
    <xf numFmtId="9" fontId="6" fillId="0" borderId="11" xfId="0" applyNumberFormat="1" applyFont="1" applyBorder="1" applyProtection="1"/>
    <xf numFmtId="9" fontId="6" fillId="0" borderId="0" xfId="0" applyNumberFormat="1" applyFont="1" applyBorder="1" applyProtection="1"/>
    <xf numFmtId="164" fontId="6" fillId="0" borderId="0" xfId="1" applyNumberFormat="1" applyFont="1" applyBorder="1" applyProtection="1"/>
    <xf numFmtId="164" fontId="6" fillId="0" borderId="12" xfId="1" applyNumberFormat="1" applyFont="1" applyBorder="1" applyProtection="1"/>
    <xf numFmtId="164" fontId="6" fillId="0" borderId="10" xfId="1" applyNumberFormat="1" applyFont="1" applyBorder="1" applyProtection="1"/>
    <xf numFmtId="164" fontId="6" fillId="0" borderId="11" xfId="1" applyNumberFormat="1" applyFont="1" applyBorder="1" applyProtection="1"/>
    <xf numFmtId="0" fontId="6" fillId="0" borderId="18" xfId="0" applyFont="1" applyFill="1" applyBorder="1" applyProtection="1">
      <protection locked="0"/>
    </xf>
    <xf numFmtId="0" fontId="6" fillId="0" borderId="19" xfId="0" applyFont="1" applyFill="1" applyBorder="1" applyProtection="1">
      <protection locked="0"/>
    </xf>
    <xf numFmtId="0" fontId="6" fillId="5" borderId="16" xfId="0" applyFont="1" applyFill="1" applyBorder="1" applyProtection="1">
      <protection locked="0"/>
    </xf>
    <xf numFmtId="0" fontId="6" fillId="5" borderId="17" xfId="0" applyFont="1" applyFill="1" applyBorder="1" applyProtection="1">
      <protection locked="0"/>
    </xf>
    <xf numFmtId="9" fontId="6" fillId="2" borderId="16" xfId="4" applyFont="1" applyFill="1" applyBorder="1" applyProtection="1">
      <protection locked="0"/>
    </xf>
    <xf numFmtId="44" fontId="6" fillId="0" borderId="0" xfId="2" applyFont="1" applyBorder="1" applyProtection="1"/>
    <xf numFmtId="44" fontId="6" fillId="0" borderId="9" xfId="2" applyFont="1" applyBorder="1" applyProtection="1"/>
    <xf numFmtId="44" fontId="6" fillId="0" borderId="10" xfId="2" applyFont="1" applyBorder="1" applyAlignment="1" applyProtection="1">
      <alignment horizontal="left" indent="1"/>
    </xf>
    <xf numFmtId="44" fontId="6" fillId="0" borderId="11" xfId="2" applyFont="1" applyBorder="1" applyAlignment="1" applyProtection="1">
      <alignment horizontal="left" indent="1"/>
    </xf>
    <xf numFmtId="44" fontId="6" fillId="0" borderId="10" xfId="2" applyFont="1" applyBorder="1" applyProtection="1"/>
    <xf numFmtId="44" fontId="6" fillId="0" borderId="11" xfId="2" applyFont="1" applyBorder="1" applyProtection="1"/>
    <xf numFmtId="9" fontId="6" fillId="2" borderId="17" xfId="4" applyFont="1" applyFill="1" applyBorder="1" applyProtection="1">
      <protection locked="0"/>
    </xf>
    <xf numFmtId="9" fontId="6" fillId="0" borderId="0" xfId="4" applyFont="1" applyBorder="1" applyProtection="1"/>
    <xf numFmtId="9" fontId="6" fillId="0" borderId="9" xfId="4" applyFont="1" applyBorder="1" applyProtection="1"/>
    <xf numFmtId="9" fontId="6" fillId="0" borderId="10" xfId="4" applyFont="1" applyBorder="1" applyProtection="1"/>
    <xf numFmtId="9" fontId="6" fillId="0" borderId="11" xfId="4" applyNumberFormat="1" applyFont="1" applyBorder="1" applyProtection="1"/>
    <xf numFmtId="9" fontId="6" fillId="0" borderId="11" xfId="4" applyFont="1" applyBorder="1" applyProtection="1"/>
    <xf numFmtId="44" fontId="6" fillId="0" borderId="0" xfId="2" applyFont="1" applyFill="1" applyBorder="1" applyProtection="1"/>
    <xf numFmtId="44" fontId="6" fillId="0" borderId="12" xfId="2" applyFont="1" applyFill="1" applyBorder="1" applyProtection="1"/>
    <xf numFmtId="0" fontId="6" fillId="0" borderId="10" xfId="0" applyFont="1" applyBorder="1" applyAlignment="1" applyProtection="1">
      <alignment horizontal="center" wrapText="1"/>
    </xf>
    <xf numFmtId="0" fontId="6" fillId="0" borderId="0" xfId="0" applyFont="1" applyAlignment="1" applyProtection="1"/>
    <xf numFmtId="0" fontId="6" fillId="0" borderId="6" xfId="0" applyFont="1" applyBorder="1" applyAlignment="1" applyProtection="1">
      <alignment horizontal="center" wrapText="1"/>
    </xf>
    <xf numFmtId="0" fontId="6" fillId="0" borderId="20"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0" xfId="0" applyFont="1" applyBorder="1" applyAlignment="1">
      <alignment horizontal="left"/>
    </xf>
    <xf numFmtId="0" fontId="6" fillId="0" borderId="0" xfId="0" applyFont="1" applyFill="1" applyBorder="1" applyAlignment="1" applyProtection="1">
      <alignment horizontal="center" wrapText="1"/>
    </xf>
    <xf numFmtId="43" fontId="6" fillId="0" borderId="12" xfId="1" applyFont="1" applyFill="1" applyBorder="1" applyProtection="1"/>
    <xf numFmtId="44" fontId="6" fillId="0" borderId="0" xfId="2" applyFont="1" applyProtection="1"/>
    <xf numFmtId="44" fontId="6" fillId="0" borderId="21" xfId="2" applyFont="1" applyBorder="1" applyProtection="1"/>
    <xf numFmtId="44" fontId="6" fillId="2" borderId="22" xfId="2" applyFont="1" applyFill="1" applyBorder="1" applyProtection="1">
      <protection locked="0"/>
    </xf>
    <xf numFmtId="44" fontId="6" fillId="0" borderId="21" xfId="2" applyFont="1" applyFill="1" applyBorder="1" applyProtection="1"/>
    <xf numFmtId="43" fontId="6" fillId="0" borderId="9" xfId="1" applyFont="1" applyBorder="1" applyProtection="1"/>
    <xf numFmtId="43" fontId="6" fillId="2" borderId="16" xfId="1" applyFont="1" applyFill="1" applyBorder="1" applyProtection="1">
      <protection locked="0"/>
    </xf>
    <xf numFmtId="43" fontId="6" fillId="2" borderId="17" xfId="1" applyFont="1" applyFill="1" applyBorder="1" applyProtection="1">
      <protection locked="0"/>
    </xf>
    <xf numFmtId="43" fontId="6" fillId="0" borderId="0" xfId="1" applyFont="1" applyFill="1" applyBorder="1" applyProtection="1"/>
    <xf numFmtId="43" fontId="6" fillId="2" borderId="22" xfId="1" applyFont="1" applyFill="1" applyBorder="1" applyProtection="1">
      <protection locked="0"/>
    </xf>
    <xf numFmtId="43" fontId="6" fillId="0" borderId="9" xfId="1" applyFont="1" applyFill="1" applyBorder="1" applyProtection="1"/>
    <xf numFmtId="0" fontId="6" fillId="0" borderId="12" xfId="0" applyFont="1" applyBorder="1" applyProtection="1"/>
    <xf numFmtId="44" fontId="6" fillId="0" borderId="9" xfId="0" applyNumberFormat="1" applyFont="1" applyBorder="1" applyProtection="1"/>
    <xf numFmtId="44" fontId="6" fillId="0" borderId="10" xfId="0" applyNumberFormat="1" applyFont="1" applyBorder="1" applyProtection="1"/>
    <xf numFmtId="44" fontId="6" fillId="0" borderId="11" xfId="0" applyNumberFormat="1" applyFont="1" applyBorder="1" applyProtection="1"/>
    <xf numFmtId="0" fontId="6" fillId="0" borderId="1" xfId="0" applyFont="1" applyBorder="1" applyProtection="1"/>
    <xf numFmtId="0" fontId="5" fillId="0" borderId="0" xfId="0" applyFont="1" applyBorder="1" applyAlignment="1" applyProtection="1">
      <alignment horizontal="center"/>
    </xf>
    <xf numFmtId="0" fontId="5" fillId="0" borderId="12" xfId="0" applyFont="1" applyBorder="1" applyAlignment="1" applyProtection="1">
      <alignment horizontal="center"/>
    </xf>
    <xf numFmtId="0" fontId="6" fillId="0" borderId="0" xfId="0" applyFont="1" applyAlignment="1">
      <alignment vertical="top"/>
    </xf>
    <xf numFmtId="44" fontId="6" fillId="2" borderId="16" xfId="2" applyFont="1" applyFill="1" applyBorder="1" applyAlignment="1" applyProtection="1">
      <alignment horizontal="left" vertical="top"/>
      <protection locked="0"/>
    </xf>
    <xf numFmtId="44" fontId="6" fillId="2" borderId="17" xfId="2" applyFont="1" applyFill="1" applyBorder="1" applyAlignment="1" applyProtection="1">
      <alignment horizontal="left" vertical="top"/>
      <protection locked="0"/>
    </xf>
    <xf numFmtId="0" fontId="6" fillId="0" borderId="0" xfId="0" applyFont="1" applyAlignment="1" applyProtection="1">
      <alignment vertical="top"/>
    </xf>
    <xf numFmtId="0" fontId="5" fillId="0" borderId="1" xfId="0" applyFont="1" applyBorder="1" applyProtection="1"/>
    <xf numFmtId="0" fontId="5" fillId="0" borderId="0" xfId="0" applyFont="1" applyBorder="1" applyProtection="1"/>
    <xf numFmtId="44" fontId="6" fillId="0" borderId="9" xfId="2" applyFont="1" applyBorder="1" applyAlignment="1" applyProtection="1">
      <alignment horizontal="right"/>
    </xf>
    <xf numFmtId="44" fontId="6" fillId="0" borderId="10" xfId="2" applyFont="1" applyBorder="1" applyAlignment="1" applyProtection="1">
      <alignment horizontal="right"/>
    </xf>
    <xf numFmtId="44" fontId="6" fillId="0" borderId="11" xfId="2" applyFont="1" applyBorder="1" applyAlignment="1" applyProtection="1">
      <alignment horizontal="right"/>
    </xf>
    <xf numFmtId="44" fontId="6" fillId="0" borderId="0" xfId="2" applyFont="1" applyBorder="1" applyAlignment="1" applyProtection="1">
      <alignment horizontal="right"/>
    </xf>
    <xf numFmtId="43" fontId="6" fillId="0" borderId="0" xfId="1" applyFont="1" applyBorder="1" applyProtection="1"/>
    <xf numFmtId="43" fontId="6" fillId="0" borderId="10" xfId="1" applyFont="1" applyBorder="1" applyProtection="1"/>
    <xf numFmtId="43" fontId="6" fillId="0" borderId="11" xfId="1" applyFont="1" applyBorder="1" applyProtection="1"/>
    <xf numFmtId="43" fontId="6" fillId="0" borderId="20" xfId="1" applyFont="1" applyBorder="1" applyProtection="1"/>
    <xf numFmtId="43" fontId="6" fillId="0" borderId="6" xfId="1" applyFont="1" applyBorder="1" applyProtection="1"/>
    <xf numFmtId="43" fontId="6" fillId="0" borderId="7" xfId="1" applyFont="1" applyBorder="1" applyProtection="1"/>
    <xf numFmtId="0" fontId="5" fillId="0" borderId="13" xfId="0" applyFont="1" applyBorder="1" applyProtection="1"/>
    <xf numFmtId="0" fontId="6" fillId="0" borderId="13" xfId="0" applyFont="1" applyBorder="1" applyProtection="1"/>
    <xf numFmtId="0" fontId="6" fillId="0" borderId="2" xfId="0" applyFont="1" applyBorder="1" applyProtection="1"/>
    <xf numFmtId="44" fontId="5" fillId="0" borderId="23" xfId="0" applyNumberFormat="1" applyFont="1" applyBorder="1" applyProtection="1"/>
    <xf numFmtId="44" fontId="5" fillId="0" borderId="24" xfId="0" applyNumberFormat="1" applyFont="1" applyBorder="1" applyProtection="1"/>
    <xf numFmtId="44" fontId="5" fillId="0" borderId="25" xfId="0" applyNumberFormat="1" applyFont="1" applyBorder="1" applyProtection="1"/>
    <xf numFmtId="44" fontId="5" fillId="0" borderId="0" xfId="0" applyNumberFormat="1" applyFont="1" applyBorder="1" applyProtection="1"/>
    <xf numFmtId="0" fontId="5" fillId="0" borderId="0" xfId="0" applyFont="1" applyProtection="1"/>
    <xf numFmtId="0" fontId="5" fillId="0" borderId="0" xfId="0" applyFont="1" applyBorder="1" applyAlignment="1" applyProtection="1"/>
    <xf numFmtId="0" fontId="5" fillId="0" borderId="0" xfId="0" applyFont="1" applyFill="1" applyBorder="1" applyAlignment="1" applyProtection="1"/>
    <xf numFmtId="0" fontId="6" fillId="0" borderId="0" xfId="3" applyFont="1" applyAlignment="1" applyProtection="1">
      <alignment horizontal="left"/>
    </xf>
    <xf numFmtId="0" fontId="11" fillId="0" borderId="0" xfId="0" applyFont="1" applyBorder="1"/>
    <xf numFmtId="9" fontId="6" fillId="0" borderId="0" xfId="4" applyFont="1" applyBorder="1" applyAlignment="1">
      <alignment horizontal="center"/>
    </xf>
    <xf numFmtId="9" fontId="6" fillId="0" borderId="0" xfId="4" applyFont="1" applyBorder="1"/>
    <xf numFmtId="16" fontId="6" fillId="0" borderId="0" xfId="0" applyNumberFormat="1" applyFont="1"/>
    <xf numFmtId="0" fontId="26" fillId="4" borderId="36" xfId="0" applyFont="1" applyFill="1" applyBorder="1" applyAlignment="1"/>
    <xf numFmtId="0" fontId="24" fillId="0" borderId="0" xfId="0" applyFont="1"/>
    <xf numFmtId="0" fontId="27" fillId="0" borderId="0" xfId="0" applyFont="1" applyBorder="1" applyAlignment="1" applyProtection="1"/>
    <xf numFmtId="0" fontId="24" fillId="0" borderId="0" xfId="0" applyFont="1" applyAlignment="1">
      <alignment vertical="top"/>
    </xf>
    <xf numFmtId="1" fontId="6" fillId="0" borderId="0" xfId="0" applyNumberFormat="1" applyFont="1" applyBorder="1" applyAlignment="1">
      <alignment horizontal="center"/>
    </xf>
    <xf numFmtId="0" fontId="20" fillId="0" borderId="0" xfId="0" applyFont="1" applyAlignment="1">
      <alignment wrapText="1"/>
    </xf>
    <xf numFmtId="0" fontId="7" fillId="0" borderId="0" xfId="3" applyBorder="1" applyAlignment="1" applyProtection="1"/>
    <xf numFmtId="0" fontId="23" fillId="0" borderId="0" xfId="0" applyFont="1"/>
    <xf numFmtId="0" fontId="5" fillId="0" borderId="12" xfId="0" applyFont="1" applyBorder="1" applyAlignment="1">
      <alignment horizontal="right"/>
    </xf>
    <xf numFmtId="166" fontId="6" fillId="0" borderId="0" xfId="0" applyNumberFormat="1" applyFont="1" applyProtection="1"/>
    <xf numFmtId="168" fontId="6" fillId="0" borderId="0" xfId="1" applyNumberFormat="1" applyFont="1" applyBorder="1" applyAlignment="1" applyProtection="1">
      <alignment horizontal="center"/>
    </xf>
    <xf numFmtId="0" fontId="3" fillId="0" borderId="5" xfId="0" applyFont="1" applyFill="1" applyBorder="1"/>
    <xf numFmtId="0" fontId="3" fillId="0" borderId="0" xfId="0" applyFont="1" applyBorder="1" applyAlignment="1">
      <alignment horizontal="left"/>
    </xf>
    <xf numFmtId="0" fontId="3" fillId="0" borderId="0" xfId="0" applyFont="1"/>
    <xf numFmtId="0" fontId="3" fillId="0" borderId="1" xfId="0" applyFont="1" applyFill="1" applyBorder="1" applyAlignment="1">
      <alignment horizontal="right"/>
    </xf>
    <xf numFmtId="0" fontId="3" fillId="0" borderId="12" xfId="0" applyFont="1" applyFill="1" applyBorder="1" applyAlignment="1">
      <alignment horizontal="right"/>
    </xf>
    <xf numFmtId="0" fontId="12" fillId="0" borderId="0" xfId="0" applyFont="1" applyBorder="1" applyAlignment="1"/>
    <xf numFmtId="0" fontId="12" fillId="0" borderId="12" xfId="0" applyFont="1" applyBorder="1" applyAlignment="1"/>
    <xf numFmtId="1" fontId="0" fillId="0" borderId="12" xfId="0" applyNumberFormat="1" applyBorder="1" applyAlignment="1">
      <alignment horizontal="right"/>
    </xf>
    <xf numFmtId="1" fontId="3" fillId="0" borderId="12" xfId="0" applyNumberFormat="1" applyFont="1" applyFill="1" applyBorder="1" applyAlignment="1">
      <alignment horizontal="right"/>
    </xf>
    <xf numFmtId="0" fontId="3" fillId="0" borderId="0" xfId="0" applyFont="1" applyAlignment="1">
      <alignment horizontal="left"/>
    </xf>
    <xf numFmtId="0" fontId="5" fillId="0" borderId="0" xfId="0" applyFont="1" applyBorder="1" applyAlignment="1">
      <alignment horizontal="right"/>
    </xf>
    <xf numFmtId="0" fontId="3" fillId="0" borderId="0" xfId="0" applyFont="1" applyFill="1" applyBorder="1" applyAlignment="1">
      <alignment horizontal="right"/>
    </xf>
    <xf numFmtId="0" fontId="3" fillId="0" borderId="0" xfId="0" applyFont="1" applyFill="1" applyBorder="1"/>
    <xf numFmtId="0" fontId="0" fillId="0" borderId="8" xfId="0" applyBorder="1"/>
    <xf numFmtId="0" fontId="3" fillId="0" borderId="1" xfId="0" applyFont="1" applyBorder="1" applyAlignment="1">
      <alignment horizontal="right"/>
    </xf>
    <xf numFmtId="16" fontId="0" fillId="0" borderId="13" xfId="0" applyNumberFormat="1" applyBorder="1"/>
    <xf numFmtId="0" fontId="5" fillId="0" borderId="8" xfId="0" applyFont="1" applyBorder="1" applyAlignment="1">
      <alignment horizontal="right"/>
    </xf>
    <xf numFmtId="0" fontId="5" fillId="0" borderId="3" xfId="0" applyFont="1" applyBorder="1" applyAlignment="1">
      <alignment horizontal="right"/>
    </xf>
    <xf numFmtId="0" fontId="3" fillId="0" borderId="29" xfId="0" applyFont="1" applyBorder="1" applyAlignment="1">
      <alignment horizontal="right"/>
    </xf>
    <xf numFmtId="14" fontId="0" fillId="0" borderId="30" xfId="0" applyNumberFormat="1" applyFill="1" applyBorder="1"/>
    <xf numFmtId="0" fontId="3" fillId="0" borderId="12" xfId="0" applyFont="1" applyFill="1" applyBorder="1"/>
    <xf numFmtId="0" fontId="0" fillId="0" borderId="13" xfId="0" applyBorder="1"/>
    <xf numFmtId="0" fontId="12" fillId="0" borderId="14" xfId="0" applyFont="1" applyBorder="1"/>
    <xf numFmtId="0" fontId="12" fillId="0" borderId="26" xfId="0" applyFont="1" applyBorder="1"/>
    <xf numFmtId="0" fontId="0" fillId="0" borderId="31" xfId="0" applyBorder="1"/>
    <xf numFmtId="0" fontId="3" fillId="0" borderId="27" xfId="0" applyFont="1" applyBorder="1"/>
    <xf numFmtId="0" fontId="0" fillId="0" borderId="32" xfId="0" applyBorder="1"/>
    <xf numFmtId="49" fontId="3" fillId="0" borderId="27" xfId="0" applyNumberFormat="1" applyFont="1" applyBorder="1"/>
    <xf numFmtId="49" fontId="3" fillId="0" borderId="28" xfId="0" applyNumberFormat="1" applyFont="1" applyBorder="1"/>
    <xf numFmtId="9" fontId="0" fillId="0" borderId="18" xfId="4" applyFont="1" applyBorder="1"/>
    <xf numFmtId="0" fontId="0" fillId="0" borderId="18" xfId="0" applyBorder="1"/>
    <xf numFmtId="0" fontId="0" fillId="0" borderId="33" xfId="0" applyBorder="1"/>
    <xf numFmtId="0" fontId="2" fillId="0" borderId="0" xfId="0" applyFont="1"/>
    <xf numFmtId="14" fontId="23" fillId="0" borderId="0" xfId="0" applyNumberFormat="1" applyFont="1" applyFill="1" applyProtection="1"/>
    <xf numFmtId="169" fontId="6" fillId="2" borderId="16" xfId="0" applyNumberFormat="1" applyFont="1" applyFill="1" applyBorder="1" applyProtection="1">
      <protection locked="0"/>
    </xf>
    <xf numFmtId="0" fontId="1" fillId="0" borderId="0" xfId="0" applyFont="1" applyBorder="1" applyAlignment="1" applyProtection="1">
      <alignment horizontal="left"/>
    </xf>
    <xf numFmtId="0" fontId="6" fillId="0" borderId="0" xfId="0" applyFont="1" applyBorder="1"/>
    <xf numFmtId="0" fontId="6" fillId="0" borderId="12" xfId="0" applyFont="1" applyBorder="1"/>
    <xf numFmtId="0" fontId="27" fillId="0" borderId="0" xfId="0" applyFont="1"/>
    <xf numFmtId="0" fontId="27" fillId="0" borderId="0" xfId="0" applyFont="1" applyProtection="1"/>
    <xf numFmtId="0" fontId="6" fillId="0" borderId="0" xfId="0" applyFont="1" applyFill="1" applyBorder="1" applyAlignment="1"/>
    <xf numFmtId="2" fontId="6" fillId="0" borderId="0" xfId="0" applyNumberFormat="1" applyFont="1" applyFill="1" applyProtection="1"/>
    <xf numFmtId="14" fontId="6" fillId="0" borderId="0" xfId="0" applyNumberFormat="1" applyFont="1" applyFill="1" applyProtection="1"/>
    <xf numFmtId="0" fontId="6" fillId="0" borderId="0" xfId="0" applyFont="1" applyFill="1" applyProtection="1"/>
    <xf numFmtId="14" fontId="0" fillId="0" borderId="0" xfId="0" applyNumberFormat="1" applyBorder="1"/>
    <xf numFmtId="14" fontId="0" fillId="0" borderId="0" xfId="0" applyNumberFormat="1" applyBorder="1" applyAlignment="1">
      <alignment horizontal="right"/>
    </xf>
    <xf numFmtId="14" fontId="0" fillId="0" borderId="12" xfId="0" applyNumberFormat="1" applyBorder="1" applyAlignment="1">
      <alignment horizontal="right"/>
    </xf>
    <xf numFmtId="16" fontId="11" fillId="0" borderId="0" xfId="0" applyNumberFormat="1" applyFont="1" applyBorder="1"/>
    <xf numFmtId="0" fontId="6" fillId="0" borderId="8" xfId="0" applyFont="1" applyBorder="1"/>
    <xf numFmtId="0" fontId="6" fillId="0" borderId="8" xfId="0" applyFont="1" applyBorder="1" applyAlignment="1">
      <alignment horizontal="center"/>
    </xf>
    <xf numFmtId="0" fontId="5" fillId="0" borderId="8" xfId="0" applyFont="1" applyBorder="1"/>
    <xf numFmtId="0" fontId="18" fillId="0" borderId="1" xfId="0" applyFont="1" applyBorder="1" applyAlignment="1">
      <alignment horizontal="right"/>
    </xf>
    <xf numFmtId="166" fontId="5" fillId="0" borderId="1" xfId="0" applyNumberFormat="1" applyFont="1" applyBorder="1"/>
    <xf numFmtId="16" fontId="5" fillId="0" borderId="1" xfId="0" applyNumberFormat="1" applyFont="1" applyBorder="1"/>
    <xf numFmtId="16" fontId="5" fillId="0" borderId="5" xfId="0" applyNumberFormat="1" applyFont="1" applyBorder="1"/>
    <xf numFmtId="1" fontId="6" fillId="0" borderId="13" xfId="0" applyNumberFormat="1" applyFont="1" applyBorder="1" applyAlignment="1">
      <alignment horizontal="center"/>
    </xf>
    <xf numFmtId="9" fontId="6" fillId="0" borderId="13" xfId="4" applyFont="1" applyBorder="1" applyAlignment="1">
      <alignment horizontal="center"/>
    </xf>
    <xf numFmtId="168" fontId="6" fillId="0" borderId="13" xfId="1" applyNumberFormat="1" applyFont="1" applyBorder="1" applyAlignment="1" applyProtection="1">
      <alignment horizontal="center"/>
    </xf>
    <xf numFmtId="9" fontId="6" fillId="0" borderId="13" xfId="4" applyFont="1" applyBorder="1"/>
    <xf numFmtId="0" fontId="29" fillId="0" borderId="0" xfId="3" applyFont="1" applyAlignment="1" applyProtection="1">
      <alignment horizontal="left"/>
    </xf>
    <xf numFmtId="9" fontId="23" fillId="0" borderId="16" xfId="4" applyFont="1" applyFill="1" applyBorder="1" applyProtection="1">
      <protection locked="0"/>
    </xf>
    <xf numFmtId="9" fontId="23" fillId="0" borderId="17" xfId="4" applyFont="1" applyFill="1" applyBorder="1" applyProtection="1">
      <protection locked="0"/>
    </xf>
    <xf numFmtId="0" fontId="6" fillId="0" borderId="0" xfId="0" applyFont="1" applyBorder="1" applyAlignment="1" applyProtection="1">
      <alignment horizontal="left" indent="1"/>
    </xf>
    <xf numFmtId="0" fontId="6" fillId="0" borderId="1" xfId="0" applyFont="1" applyBorder="1" applyAlignment="1" applyProtection="1">
      <alignment horizontal="left" indent="1"/>
    </xf>
    <xf numFmtId="0" fontId="1" fillId="0" borderId="1" xfId="0" applyFont="1" applyBorder="1" applyAlignment="1" applyProtection="1">
      <alignment horizontal="left" vertical="top" indent="1"/>
    </xf>
    <xf numFmtId="0" fontId="5" fillId="0" borderId="1" xfId="0" applyFont="1" applyBorder="1" applyAlignment="1" applyProtection="1">
      <alignment horizontal="left" indent="1"/>
    </xf>
    <xf numFmtId="169" fontId="1" fillId="2" borderId="17" xfId="0" applyNumberFormat="1" applyFont="1" applyFill="1" applyBorder="1" applyProtection="1">
      <protection locked="0"/>
    </xf>
    <xf numFmtId="0" fontId="6" fillId="0" borderId="15" xfId="0" applyFont="1" applyBorder="1" applyAlignment="1" applyProtection="1">
      <alignment horizontal="center" wrapText="1"/>
    </xf>
    <xf numFmtId="0" fontId="6" fillId="0" borderId="15" xfId="0" applyFont="1" applyBorder="1" applyProtection="1"/>
    <xf numFmtId="44" fontId="6" fillId="0" borderId="16" xfId="2" applyFont="1" applyBorder="1" applyProtection="1">
      <protection locked="0"/>
    </xf>
    <xf numFmtId="44" fontId="6" fillId="0" borderId="17" xfId="2" applyFont="1" applyBorder="1" applyProtection="1">
      <protection locked="0"/>
    </xf>
    <xf numFmtId="0" fontId="22" fillId="0" borderId="5" xfId="0" applyFont="1" applyBorder="1" applyAlignment="1">
      <alignment horizontal="left"/>
    </xf>
    <xf numFmtId="0" fontId="6" fillId="0" borderId="1" xfId="0" applyFont="1" applyBorder="1" applyAlignment="1" applyProtection="1">
      <alignment horizontal="left"/>
    </xf>
    <xf numFmtId="0" fontId="6" fillId="0" borderId="0" xfId="0" applyFont="1" applyBorder="1" applyAlignment="1" applyProtection="1">
      <alignment horizontal="left"/>
    </xf>
    <xf numFmtId="0" fontId="6" fillId="0" borderId="9" xfId="0" applyFont="1" applyBorder="1" applyAlignment="1" applyProtection="1">
      <alignment horizontal="center" wrapText="1"/>
    </xf>
    <xf numFmtId="0" fontId="6" fillId="0" borderId="0" xfId="0" applyFont="1" applyBorder="1" applyAlignment="1" applyProtection="1">
      <alignment horizontal="center" wrapText="1"/>
    </xf>
    <xf numFmtId="0" fontId="11" fillId="0" borderId="3" xfId="0" applyFont="1" applyBorder="1" applyAlignment="1" applyProtection="1">
      <alignment horizontal="center"/>
    </xf>
    <xf numFmtId="0" fontId="6" fillId="0" borderId="11" xfId="0" applyFont="1" applyBorder="1" applyAlignment="1" applyProtection="1">
      <alignment horizontal="center" wrapText="1"/>
    </xf>
    <xf numFmtId="0" fontId="11" fillId="0" borderId="8" xfId="0" applyFont="1" applyBorder="1" applyAlignment="1" applyProtection="1">
      <alignment horizontal="center"/>
    </xf>
    <xf numFmtId="0" fontId="5" fillId="0" borderId="1" xfId="0" applyFont="1" applyBorder="1" applyAlignment="1" applyProtection="1">
      <alignment horizontal="left"/>
    </xf>
    <xf numFmtId="0" fontId="5" fillId="0" borderId="0" xfId="0" applyFont="1" applyBorder="1" applyAlignment="1" applyProtection="1">
      <alignment horizontal="left"/>
    </xf>
    <xf numFmtId="16" fontId="5" fillId="0" borderId="1" xfId="0" applyNumberFormat="1" applyFont="1" applyBorder="1" applyAlignment="1">
      <alignment horizontal="right"/>
    </xf>
    <xf numFmtId="0" fontId="5" fillId="0" borderId="12" xfId="0" applyFont="1" applyBorder="1" applyProtection="1"/>
    <xf numFmtId="0" fontId="6" fillId="0" borderId="9" xfId="0" applyFont="1" applyBorder="1" applyAlignment="1" applyProtection="1">
      <alignment horizontal="center" wrapText="1"/>
    </xf>
    <xf numFmtId="0" fontId="11" fillId="0" borderId="3" xfId="0" applyFont="1" applyBorder="1" applyAlignment="1" applyProtection="1">
      <alignment horizontal="center"/>
    </xf>
    <xf numFmtId="0" fontId="6" fillId="0" borderId="11" xfId="0" applyFont="1" applyBorder="1" applyAlignment="1" applyProtection="1">
      <alignment horizontal="center" wrapText="1"/>
    </xf>
    <xf numFmtId="0" fontId="11" fillId="0" borderId="8" xfId="0" applyFont="1" applyBorder="1" applyAlignment="1" applyProtection="1">
      <alignment horizontal="center"/>
    </xf>
    <xf numFmtId="0" fontId="31" fillId="0" borderId="0" xfId="0" applyFont="1" applyBorder="1" applyAlignment="1" applyProtection="1"/>
    <xf numFmtId="0" fontId="25" fillId="0" borderId="0" xfId="0" applyFont="1" applyAlignment="1" applyProtection="1"/>
    <xf numFmtId="0" fontId="23" fillId="0" borderId="0" xfId="0" applyFont="1" applyFill="1" applyBorder="1" applyProtection="1">
      <protection locked="0"/>
    </xf>
    <xf numFmtId="0" fontId="23" fillId="0" borderId="0" xfId="0" applyFont="1" applyBorder="1"/>
    <xf numFmtId="0" fontId="23" fillId="0" borderId="0" xfId="0" applyFont="1" applyFill="1" applyBorder="1" applyAlignment="1" applyProtection="1">
      <alignment horizontal="center"/>
      <protection locked="0"/>
    </xf>
    <xf numFmtId="0" fontId="31" fillId="0" borderId="0" xfId="0" applyFont="1" applyBorder="1" applyProtection="1"/>
    <xf numFmtId="0" fontId="31" fillId="0" borderId="0" xfId="0" applyFont="1" applyBorder="1"/>
    <xf numFmtId="0" fontId="11" fillId="0" borderId="0" xfId="0" applyFont="1"/>
    <xf numFmtId="44" fontId="6" fillId="0" borderId="9" xfId="4" applyNumberFormat="1" applyFont="1" applyBorder="1" applyProtection="1"/>
    <xf numFmtId="44" fontId="6" fillId="0" borderId="10" xfId="4" applyNumberFormat="1" applyFont="1" applyBorder="1" applyProtection="1"/>
    <xf numFmtId="44" fontId="6" fillId="0" borderId="11" xfId="4" applyNumberFormat="1" applyFont="1" applyBorder="1" applyProtection="1"/>
    <xf numFmtId="43" fontId="6" fillId="0" borderId="0" xfId="0" applyNumberFormat="1" applyFont="1" applyFill="1"/>
    <xf numFmtId="43" fontId="5" fillId="0" borderId="0" xfId="0" applyNumberFormat="1" applyFont="1" applyFill="1" applyBorder="1" applyAlignment="1"/>
    <xf numFmtId="44" fontId="6" fillId="0" borderId="0" xfId="0" applyNumberFormat="1" applyFont="1"/>
    <xf numFmtId="0" fontId="5" fillId="0" borderId="5" xfId="0" applyFont="1" applyFill="1" applyBorder="1" applyProtection="1"/>
    <xf numFmtId="0" fontId="5" fillId="0" borderId="0" xfId="0" applyFont="1" applyBorder="1" applyAlignment="1" applyProtection="1">
      <alignment horizontal="center" wrapText="1"/>
    </xf>
    <xf numFmtId="44" fontId="6" fillId="0" borderId="1" xfId="2" applyFont="1" applyBorder="1" applyAlignment="1">
      <alignment horizontal="right"/>
    </xf>
    <xf numFmtId="44" fontId="6" fillId="0" borderId="12" xfId="0" applyNumberFormat="1" applyFont="1" applyBorder="1" applyAlignment="1">
      <alignment horizontal="right"/>
    </xf>
    <xf numFmtId="44" fontId="6" fillId="0" borderId="1" xfId="2" applyFont="1" applyFill="1" applyBorder="1" applyAlignment="1" applyProtection="1">
      <alignment horizontal="right"/>
    </xf>
    <xf numFmtId="44" fontId="6" fillId="0" borderId="0" xfId="2" applyFont="1" applyFill="1" applyBorder="1" applyAlignment="1" applyProtection="1">
      <alignment horizontal="right"/>
    </xf>
    <xf numFmtId="44" fontId="6" fillId="0" borderId="12" xfId="2" applyFont="1" applyFill="1" applyBorder="1" applyAlignment="1">
      <alignment horizontal="right"/>
    </xf>
    <xf numFmtId="0" fontId="6" fillId="0" borderId="15" xfId="0" applyFont="1" applyBorder="1" applyAlignment="1">
      <alignment horizontal="right"/>
    </xf>
    <xf numFmtId="44" fontId="6" fillId="0" borderId="1" xfId="0" applyNumberFormat="1" applyFont="1" applyBorder="1" applyAlignment="1">
      <alignment horizontal="right"/>
    </xf>
    <xf numFmtId="44" fontId="6" fillId="0" borderId="0" xfId="0" applyNumberFormat="1" applyFont="1" applyBorder="1" applyAlignment="1">
      <alignment horizontal="right"/>
    </xf>
    <xf numFmtId="0" fontId="6" fillId="0" borderId="12" xfId="0" applyFont="1" applyBorder="1" applyAlignment="1">
      <alignment horizontal="right"/>
    </xf>
    <xf numFmtId="44" fontId="6" fillId="0" borderId="1" xfId="2" applyFont="1" applyBorder="1" applyAlignment="1" applyProtection="1">
      <alignment horizontal="right"/>
    </xf>
    <xf numFmtId="44" fontId="6" fillId="0" borderId="12" xfId="2" applyFont="1" applyBorder="1" applyAlignment="1" applyProtection="1">
      <alignment horizontal="right"/>
    </xf>
    <xf numFmtId="44" fontId="6" fillId="0" borderId="5" xfId="2" applyFont="1" applyFill="1" applyBorder="1" applyAlignment="1" applyProtection="1">
      <alignment horizontal="right"/>
    </xf>
    <xf numFmtId="44" fontId="6" fillId="0" borderId="13" xfId="2" applyFont="1" applyFill="1" applyBorder="1" applyAlignment="1" applyProtection="1">
      <alignment horizontal="right"/>
    </xf>
    <xf numFmtId="44" fontId="6" fillId="0" borderId="2" xfId="2" applyFont="1" applyFill="1" applyBorder="1" applyAlignment="1">
      <alignment horizontal="right"/>
    </xf>
    <xf numFmtId="44" fontId="6" fillId="0" borderId="5" xfId="0" applyNumberFormat="1" applyFont="1" applyBorder="1" applyAlignment="1">
      <alignment horizontal="right"/>
    </xf>
    <xf numFmtId="44" fontId="6" fillId="0" borderId="13" xfId="0" applyNumberFormat="1" applyFont="1" applyBorder="1" applyAlignment="1">
      <alignment horizontal="right"/>
    </xf>
    <xf numFmtId="44" fontId="6" fillId="0" borderId="2" xfId="0" applyNumberFormat="1" applyFont="1" applyBorder="1" applyAlignment="1">
      <alignment horizontal="right"/>
    </xf>
    <xf numFmtId="44" fontId="6" fillId="0" borderId="5" xfId="2" applyFont="1" applyBorder="1" applyAlignment="1" applyProtection="1">
      <alignment horizontal="right"/>
    </xf>
    <xf numFmtId="44" fontId="6" fillId="0" borderId="2" xfId="2" applyFont="1" applyBorder="1" applyAlignment="1" applyProtection="1">
      <alignment horizontal="right"/>
    </xf>
    <xf numFmtId="44" fontId="6" fillId="0" borderId="5" xfId="2" applyFont="1" applyBorder="1" applyAlignment="1">
      <alignment horizontal="right"/>
    </xf>
    <xf numFmtId="0" fontId="6" fillId="0" borderId="0" xfId="0" applyFont="1" applyBorder="1" applyAlignment="1" applyProtection="1">
      <alignment horizontal="center" wrapText="1"/>
    </xf>
    <xf numFmtId="0" fontId="6" fillId="0" borderId="0" xfId="0" applyFont="1" applyBorder="1" applyAlignment="1" applyProtection="1">
      <alignment horizontal="left"/>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6" fillId="0" borderId="1" xfId="0" applyFont="1" applyBorder="1" applyAlignment="1" applyProtection="1">
      <alignment horizontal="left"/>
    </xf>
    <xf numFmtId="43" fontId="6" fillId="0" borderId="17" xfId="1" applyFont="1" applyFill="1" applyBorder="1" applyProtection="1">
      <protection locked="0"/>
    </xf>
    <xf numFmtId="43" fontId="6" fillId="0" borderId="17" xfId="1" applyNumberFormat="1" applyFont="1" applyFill="1" applyBorder="1" applyProtection="1">
      <protection locked="0"/>
    </xf>
    <xf numFmtId="43" fontId="6" fillId="0" borderId="11" xfId="1" applyNumberFormat="1" applyFont="1" applyBorder="1" applyProtection="1"/>
    <xf numFmtId="43" fontId="6" fillId="2" borderId="17" xfId="1" applyNumberFormat="1" applyFont="1" applyFill="1" applyBorder="1" applyProtection="1">
      <protection locked="0"/>
    </xf>
    <xf numFmtId="0" fontId="12" fillId="0" borderId="12" xfId="0" applyFont="1" applyBorder="1" applyAlignment="1" applyProtection="1">
      <alignment horizontal="center"/>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14" fontId="6" fillId="0" borderId="0" xfId="0" applyNumberFormat="1" applyFont="1" applyAlignment="1" applyProtection="1">
      <alignment horizontal="left"/>
    </xf>
    <xf numFmtId="0" fontId="6" fillId="0" borderId="1" xfId="0" applyFont="1" applyFill="1" applyBorder="1" applyAlignment="1" applyProtection="1">
      <alignment horizontal="center" wrapText="1"/>
    </xf>
    <xf numFmtId="0" fontId="12" fillId="0" borderId="0"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1" xfId="0" applyFont="1" applyBorder="1" applyAlignment="1" applyProtection="1">
      <alignment horizontal="center" wrapText="1"/>
    </xf>
    <xf numFmtId="0" fontId="12" fillId="0" borderId="0" xfId="0" applyFont="1" applyBorder="1" applyAlignment="1" applyProtection="1">
      <alignment horizontal="center"/>
    </xf>
    <xf numFmtId="0" fontId="20" fillId="0" borderId="0" xfId="0" applyFont="1" applyAlignment="1">
      <alignment horizontal="left" wrapText="1"/>
    </xf>
    <xf numFmtId="0" fontId="18" fillId="0" borderId="4" xfId="0" applyFont="1" applyFill="1" applyBorder="1" applyAlignment="1" applyProtection="1">
      <alignment horizontal="center"/>
    </xf>
    <xf numFmtId="0" fontId="18" fillId="0" borderId="8" xfId="0" applyFont="1" applyFill="1" applyBorder="1" applyAlignment="1" applyProtection="1">
      <alignment horizontal="center"/>
    </xf>
    <xf numFmtId="0" fontId="18" fillId="0" borderId="3" xfId="0" applyFont="1" applyFill="1" applyBorder="1" applyAlignment="1" applyProtection="1">
      <alignment horizontal="center"/>
    </xf>
    <xf numFmtId="0" fontId="18" fillId="0" borderId="4" xfId="0" applyFont="1" applyBorder="1" applyAlignment="1" applyProtection="1">
      <alignment horizontal="center"/>
    </xf>
    <xf numFmtId="0" fontId="18" fillId="0" borderId="8" xfId="0" applyFont="1" applyBorder="1" applyAlignment="1" applyProtection="1">
      <alignment horizontal="center"/>
    </xf>
    <xf numFmtId="0" fontId="18" fillId="0" borderId="3" xfId="0" applyFont="1" applyBorder="1" applyAlignment="1" applyProtection="1">
      <alignment horizontal="center"/>
    </xf>
    <xf numFmtId="0" fontId="6" fillId="0" borderId="12" xfId="0" applyFont="1" applyBorder="1" applyAlignment="1" applyProtection="1">
      <alignment horizontal="center" wrapText="1"/>
    </xf>
    <xf numFmtId="0" fontId="24" fillId="0" borderId="9" xfId="0" applyFont="1" applyBorder="1" applyAlignment="1" applyProtection="1">
      <alignment horizontal="center" wrapText="1"/>
    </xf>
    <xf numFmtId="0" fontId="24" fillId="0" borderId="6" xfId="0" applyFont="1" applyBorder="1" applyAlignment="1" applyProtection="1">
      <alignment horizontal="center" wrapText="1"/>
    </xf>
    <xf numFmtId="0" fontId="24" fillId="0" borderId="10" xfId="0" applyFont="1" applyBorder="1" applyAlignment="1" applyProtection="1">
      <alignment horizontal="center" wrapText="1"/>
    </xf>
    <xf numFmtId="0" fontId="24" fillId="0" borderId="20" xfId="0" applyFont="1" applyBorder="1" applyAlignment="1" applyProtection="1">
      <alignment horizontal="center" wrapText="1"/>
    </xf>
    <xf numFmtId="0" fontId="24" fillId="0" borderId="11" xfId="0" applyFont="1" applyBorder="1" applyAlignment="1" applyProtection="1">
      <alignment horizontal="center" wrapText="1"/>
    </xf>
    <xf numFmtId="0" fontId="24" fillId="0" borderId="7" xfId="0" applyFont="1" applyBorder="1" applyAlignment="1" applyProtection="1">
      <alignment horizontal="center" wrapText="1"/>
    </xf>
    <xf numFmtId="0" fontId="6" fillId="0" borderId="39" xfId="0" applyFont="1" applyBorder="1" applyAlignment="1" applyProtection="1">
      <alignment horizontal="center" wrapText="1"/>
    </xf>
    <xf numFmtId="0" fontId="6" fillId="0" borderId="0" xfId="0" applyFont="1" applyBorder="1" applyAlignment="1" applyProtection="1">
      <alignment horizontal="center" wrapText="1"/>
    </xf>
    <xf numFmtId="43" fontId="6" fillId="0" borderId="9" xfId="1" applyFont="1" applyBorder="1" applyAlignment="1" applyProtection="1">
      <alignment horizontal="center" wrapText="1"/>
    </xf>
    <xf numFmtId="0" fontId="1" fillId="0" borderId="1" xfId="0" applyFont="1" applyBorder="1" applyAlignment="1" applyProtection="1">
      <alignment horizontal="left"/>
    </xf>
    <xf numFmtId="0" fontId="6" fillId="0" borderId="0" xfId="0" applyFont="1" applyBorder="1" applyAlignment="1" applyProtection="1">
      <alignment horizontal="left"/>
    </xf>
    <xf numFmtId="0" fontId="5" fillId="0" borderId="1" xfId="0" applyFont="1" applyBorder="1" applyAlignment="1" applyProtection="1">
      <alignment horizontal="left"/>
    </xf>
    <xf numFmtId="0" fontId="5" fillId="0" borderId="0" xfId="0" applyFont="1" applyBorder="1" applyAlignment="1" applyProtection="1">
      <alignment horizontal="left"/>
    </xf>
    <xf numFmtId="0" fontId="6" fillId="0" borderId="1" xfId="0" applyFont="1" applyBorder="1" applyAlignment="1" applyProtection="1">
      <alignment horizontal="left"/>
    </xf>
    <xf numFmtId="0" fontId="6" fillId="0" borderId="32" xfId="0" applyFont="1" applyBorder="1" applyAlignment="1" applyProtection="1">
      <alignment horizontal="left"/>
    </xf>
    <xf numFmtId="0" fontId="5" fillId="0" borderId="11" xfId="0" applyFont="1" applyBorder="1" applyAlignment="1" applyProtection="1">
      <alignment horizontal="center" wrapText="1"/>
    </xf>
    <xf numFmtId="0" fontId="5" fillId="0" borderId="9" xfId="0" applyFont="1" applyBorder="1" applyAlignment="1" applyProtection="1">
      <alignment horizontal="center" wrapText="1"/>
    </xf>
    <xf numFmtId="0" fontId="18" fillId="0" borderId="10" xfId="0" applyFont="1" applyBorder="1" applyAlignment="1" applyProtection="1">
      <alignment horizontal="center" wrapText="1"/>
    </xf>
    <xf numFmtId="0" fontId="18" fillId="0" borderId="11" xfId="0" applyFont="1" applyBorder="1" applyAlignment="1" applyProtection="1">
      <alignment horizontal="center"/>
    </xf>
    <xf numFmtId="167" fontId="12" fillId="0" borderId="0" xfId="3" applyNumberFormat="1" applyFont="1" applyAlignment="1" applyProtection="1">
      <alignment horizontal="left" shrinkToFit="1"/>
    </xf>
    <xf numFmtId="0" fontId="17" fillId="0" borderId="0" xfId="0" applyFont="1" applyBorder="1" applyAlignment="1" applyProtection="1">
      <alignment horizontal="left"/>
    </xf>
    <xf numFmtId="0" fontId="17" fillId="3" borderId="34" xfId="0" applyFont="1" applyFill="1" applyBorder="1" applyAlignment="1" applyProtection="1">
      <alignment horizontal="left"/>
    </xf>
    <xf numFmtId="0" fontId="17" fillId="3" borderId="35" xfId="0" applyFont="1" applyFill="1" applyBorder="1" applyAlignment="1" applyProtection="1">
      <alignment horizontal="left"/>
    </xf>
    <xf numFmtId="0" fontId="11" fillId="6" borderId="4" xfId="0" applyFont="1" applyFill="1" applyBorder="1" applyAlignment="1">
      <alignment horizontal="center"/>
    </xf>
    <xf numFmtId="0" fontId="11" fillId="6" borderId="8" xfId="0" applyFont="1" applyFill="1" applyBorder="1" applyAlignment="1">
      <alignment horizontal="center"/>
    </xf>
    <xf numFmtId="0" fontId="11" fillId="6" borderId="3" xfId="0" applyFont="1" applyFill="1" applyBorder="1" applyAlignment="1">
      <alignment horizontal="center"/>
    </xf>
    <xf numFmtId="0" fontId="11" fillId="6" borderId="5" xfId="0" applyFont="1" applyFill="1" applyBorder="1" applyAlignment="1" applyProtection="1">
      <alignment horizontal="center"/>
    </xf>
    <xf numFmtId="0" fontId="11" fillId="6" borderId="13" xfId="0" applyFont="1" applyFill="1" applyBorder="1" applyAlignment="1" applyProtection="1">
      <alignment horizontal="center"/>
    </xf>
    <xf numFmtId="0" fontId="11" fillId="6" borderId="2" xfId="0" applyFont="1" applyFill="1" applyBorder="1" applyAlignment="1" applyProtection="1">
      <alignment horizontal="center"/>
    </xf>
    <xf numFmtId="0" fontId="18" fillId="0" borderId="10" xfId="0" applyFont="1" applyBorder="1" applyAlignment="1" applyProtection="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6" fillId="0" borderId="0" xfId="0" applyFont="1" applyFill="1" applyBorder="1" applyAlignment="1">
      <alignment horizontal="center"/>
    </xf>
    <xf numFmtId="0" fontId="5" fillId="0" borderId="8" xfId="0" applyFont="1" applyBorder="1" applyAlignment="1">
      <alignment horizontal="right"/>
    </xf>
    <xf numFmtId="0" fontId="5" fillId="0" borderId="3" xfId="0" applyFont="1" applyBorder="1" applyAlignment="1">
      <alignment horizontal="right"/>
    </xf>
    <xf numFmtId="0" fontId="0" fillId="0" borderId="0" xfId="0"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4">
    <dxf>
      <font>
        <color auto="1"/>
      </font>
      <fill>
        <patternFill>
          <bgColor rgb="FFFFFFCC"/>
        </patternFill>
      </fill>
    </dxf>
    <dxf>
      <font>
        <color auto="1"/>
      </font>
      <fill>
        <patternFill>
          <bgColor rgb="FFFFFFCC"/>
        </patternFill>
      </fill>
    </dxf>
    <dxf>
      <font>
        <color auto="1"/>
      </font>
      <fill>
        <patternFill>
          <bgColor rgb="FFFFFFCC"/>
        </patternFill>
      </fill>
    </dxf>
    <dxf>
      <font>
        <color auto="1"/>
      </font>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chartsheet" Target="chartsheets/sheet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9.7864768683274105E-3"/>
          <c:y val="1.4397905759162303E-2"/>
          <c:w val="0.97508896797153"/>
          <c:h val="0.97120418848167567"/>
        </c:manualLayout>
      </c:layout>
      <c:barChart>
        <c:barDir val="col"/>
        <c:grouping val="clustered"/>
        <c:varyColors val="0"/>
        <c:dLbls>
          <c:showLegendKey val="0"/>
          <c:showVal val="0"/>
          <c:showCatName val="0"/>
          <c:showSerName val="0"/>
          <c:showPercent val="0"/>
          <c:showBubbleSize val="0"/>
        </c:dLbls>
        <c:gapWidth val="150"/>
        <c:axId val="61918208"/>
        <c:axId val="60756736"/>
      </c:barChart>
      <c:catAx>
        <c:axId val="61918208"/>
        <c:scaling>
          <c:orientation val="minMax"/>
        </c:scaling>
        <c:delete val="0"/>
        <c:axPos val="b"/>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756736"/>
        <c:crosses val="autoZero"/>
        <c:auto val="1"/>
        <c:lblAlgn val="ctr"/>
        <c:lblOffset val="100"/>
        <c:tickMarkSkip val="1"/>
        <c:noMultiLvlLbl val="0"/>
      </c:catAx>
      <c:valAx>
        <c:axId val="6075673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918208"/>
        <c:crosses val="autoZero"/>
        <c:crossBetween val="between"/>
      </c:valAx>
      <c:spPr>
        <a:solidFill>
          <a:srgbClr val="C0C0C0"/>
        </a:solidFill>
        <a:ln w="12700">
          <a:solidFill>
            <a:srgbClr val="808080"/>
          </a:solidFill>
          <a:prstDash val="solid"/>
        </a:ln>
      </c:spPr>
    </c:plotArea>
    <c:legend>
      <c:legendPos val="r"/>
      <c:layout>
        <c:manualLayout>
          <c:xMode val="edge"/>
          <c:yMode val="edge"/>
          <c:x val="0.99644120208804654"/>
          <c:y val="0.5"/>
          <c:w val="0"/>
          <c:h val="1.3090805509776708E-3"/>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Soybeans 
Are Not Yet Planted</a:t>
            </a:r>
          </a:p>
        </c:rich>
      </c:tx>
      <c:layout>
        <c:manualLayout>
          <c:xMode val="edge"/>
          <c:yMode val="edge"/>
          <c:x val="0.23434742181890944"/>
          <c:y val="1.8324756649513309E-2"/>
        </c:manualLayout>
      </c:layout>
      <c:overlay val="0"/>
      <c:spPr>
        <a:noFill/>
        <a:ln>
          <a:noFill/>
        </a:ln>
        <a:effectLst/>
      </c:spPr>
    </c:title>
    <c:autoTitleDeleted val="0"/>
    <c:plotArea>
      <c:layout>
        <c:manualLayout>
          <c:layoutTarget val="inner"/>
          <c:xMode val="edge"/>
          <c:yMode val="edge"/>
          <c:x val="0.11769019463964855"/>
          <c:y val="0.16445314022212118"/>
          <c:w val="0.84799269042982583"/>
          <c:h val="0.50014710657920369"/>
        </c:manualLayout>
      </c:layout>
      <c:lineChart>
        <c:grouping val="standard"/>
        <c:varyColors val="0"/>
        <c:ser>
          <c:idx val="1"/>
          <c:order val="0"/>
          <c:tx>
            <c:strRef>
              <c:f>Blank!$R$62</c:f>
              <c:strCache>
                <c:ptCount val="1"/>
                <c:pt idx="0">
                  <c:v>Plant Late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Blank!$R$64:$R$76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19EE-4BA0-9FB7-5A3AC6C0AADD}"/>
            </c:ext>
          </c:extLst>
        </c:ser>
        <c:ser>
          <c:idx val="0"/>
          <c:order val="1"/>
          <c:tx>
            <c:strRef>
              <c:f>Blank!$Q$62</c:f>
              <c:strCache>
                <c:ptCount val="1"/>
                <c:pt idx="0">
                  <c:v>Prevented Planting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Blank!$Q$64:$Q$76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9EE-4BA0-9FB7-5A3AC6C0AADD}"/>
            </c:ext>
          </c:extLst>
        </c:ser>
        <c:dLbls>
          <c:showLegendKey val="0"/>
          <c:showVal val="0"/>
          <c:showCatName val="0"/>
          <c:showSerName val="0"/>
          <c:showPercent val="0"/>
          <c:showBubbleSize val="0"/>
        </c:dLbls>
        <c:marker val="1"/>
        <c:smooth val="0"/>
        <c:axId val="68866432"/>
        <c:axId val="68868352"/>
      </c:lineChart>
      <c:dateAx>
        <c:axId val="6886643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Planting  Date</a:t>
                </a:r>
              </a:p>
            </c:rich>
          </c:tx>
          <c:layout>
            <c:manualLayout>
              <c:xMode val="edge"/>
              <c:yMode val="edge"/>
              <c:x val="0.4358126095387122"/>
              <c:y val="0.8234964603494187"/>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68352"/>
        <c:crosses val="autoZero"/>
        <c:auto val="1"/>
        <c:lblOffset val="100"/>
        <c:baseTimeUnit val="days"/>
        <c:majorUnit val="7"/>
        <c:majorTimeUnit val="days"/>
        <c:minorUnit val="1"/>
        <c:minorTimeUnit val="days"/>
      </c:dateAx>
      <c:valAx>
        <c:axId val="6886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9025547381686422E-2"/>
              <c:y val="6.8367863869584988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6643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Corn 
Is Already Planted</a:t>
            </a:r>
          </a:p>
        </c:rich>
      </c:tx>
      <c:layout>
        <c:manualLayout>
          <c:xMode val="edge"/>
          <c:yMode val="edge"/>
          <c:x val="0.25870063994809639"/>
          <c:y val="1.8666583999834674E-2"/>
        </c:manualLayout>
      </c:layout>
      <c:overlay val="0"/>
      <c:spPr>
        <a:noFill/>
        <a:ln>
          <a:noFill/>
        </a:ln>
        <a:effectLst/>
      </c:spPr>
    </c:title>
    <c:autoTitleDeleted val="0"/>
    <c:plotArea>
      <c:layout>
        <c:manualLayout>
          <c:layoutTarget val="inner"/>
          <c:xMode val="edge"/>
          <c:yMode val="edge"/>
          <c:x val="0.11925666285264877"/>
          <c:y val="0.18630663938065911"/>
          <c:w val="0.84234730738713182"/>
          <c:h val="0.45594892483978899"/>
        </c:manualLayout>
      </c:layout>
      <c:lineChart>
        <c:grouping val="standard"/>
        <c:varyColors val="0"/>
        <c:ser>
          <c:idx val="0"/>
          <c:order val="0"/>
          <c:tx>
            <c:strRef>
              <c:f>Example!$F$62</c:f>
              <c:strCache>
                <c:ptCount val="1"/>
                <c:pt idx="0">
                  <c:v>Harvest 
corn as is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Example!$F$64:$F$76</c:f>
              <c:numCache>
                <c:formatCode>_("$"* #,##0.00_);_("$"* \(#,##0.00\);_("$"* "-"??_);_(@_)</c:formatCode>
                <c:ptCount val="13"/>
                <c:pt idx="0">
                  <c:v>415.25</c:v>
                </c:pt>
                <c:pt idx="1">
                  <c:v>415.25</c:v>
                </c:pt>
                <c:pt idx="2">
                  <c:v>415.25</c:v>
                </c:pt>
                <c:pt idx="3">
                  <c:v>415.25</c:v>
                </c:pt>
                <c:pt idx="4">
                  <c:v>415.25</c:v>
                </c:pt>
                <c:pt idx="5">
                  <c:v>415.25</c:v>
                </c:pt>
                <c:pt idx="6">
                  <c:v>415.25</c:v>
                </c:pt>
                <c:pt idx="7">
                  <c:v>415.25</c:v>
                </c:pt>
                <c:pt idx="8">
                  <c:v>476.25</c:v>
                </c:pt>
                <c:pt idx="9">
                  <c:v>476.25</c:v>
                </c:pt>
                <c:pt idx="10">
                  <c:v>476.25</c:v>
                </c:pt>
                <c:pt idx="11">
                  <c:v>476.25</c:v>
                </c:pt>
                <c:pt idx="12">
                  <c:v>476.25</c:v>
                </c:pt>
              </c:numCache>
            </c:numRef>
          </c:val>
          <c:smooth val="0"/>
          <c:extLst>
            <c:ext xmlns:c16="http://schemas.microsoft.com/office/drawing/2014/chart" uri="{C3380CC4-5D6E-409C-BE32-E72D297353CC}">
              <c16:uniqueId val="{00000000-E273-4D90-8135-6ACF0B09E4D7}"/>
            </c:ext>
          </c:extLst>
        </c:ser>
        <c:ser>
          <c:idx val="1"/>
          <c:order val="1"/>
          <c:tx>
            <c:strRef>
              <c:f>Example!$G$62</c:f>
              <c:strCache>
                <c:ptCount val="1"/>
                <c:pt idx="0">
                  <c:v>Replant Corn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Example!$G$64:$G$76</c:f>
              <c:numCache>
                <c:formatCode>_("$"* #,##0.00_);_("$"* \(#,##0.00\);_("$"* "-"??_);_(@_)</c:formatCode>
                <c:ptCount val="13"/>
                <c:pt idx="0">
                  <c:v>552</c:v>
                </c:pt>
                <c:pt idx="1">
                  <c:v>552</c:v>
                </c:pt>
                <c:pt idx="2">
                  <c:v>552</c:v>
                </c:pt>
                <c:pt idx="3">
                  <c:v>552</c:v>
                </c:pt>
                <c:pt idx="4">
                  <c:v>552</c:v>
                </c:pt>
                <c:pt idx="5">
                  <c:v>552</c:v>
                </c:pt>
                <c:pt idx="6">
                  <c:v>552</c:v>
                </c:pt>
                <c:pt idx="7">
                  <c:v>512.95195232000003</c:v>
                </c:pt>
                <c:pt idx="8">
                  <c:v>477.63867911000006</c:v>
                </c:pt>
                <c:pt idx="9">
                  <c:v>488.43199387999994</c:v>
                </c:pt>
                <c:pt idx="10">
                  <c:v>500.7014532500001</c:v>
                </c:pt>
                <c:pt idx="11">
                  <c:v>514.44705722000003</c:v>
                </c:pt>
                <c:pt idx="12">
                  <c:v>529.66880579000008</c:v>
                </c:pt>
              </c:numCache>
            </c:numRef>
          </c:val>
          <c:smooth val="0"/>
          <c:extLst>
            <c:ext xmlns:c16="http://schemas.microsoft.com/office/drawing/2014/chart" uri="{C3380CC4-5D6E-409C-BE32-E72D297353CC}">
              <c16:uniqueId val="{00000001-E273-4D90-8135-6ACF0B09E4D7}"/>
            </c:ext>
          </c:extLst>
        </c:ser>
        <c:ser>
          <c:idx val="2"/>
          <c:order val="2"/>
          <c:tx>
            <c:strRef>
              <c:f>Example!$H$62</c:f>
              <c:strCache>
                <c:ptCount val="1"/>
                <c:pt idx="0">
                  <c:v>Switch to Soybeans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Example!$H$64:$H$76</c:f>
              <c:numCache>
                <c:formatCode>_("$"* #,##0.00_);_("$"* \(#,##0.00\);_("$"* "-"??_);_(@_)</c:formatCode>
                <c:ptCount val="13"/>
                <c:pt idx="0">
                  <c:v>249.20799999999997</c:v>
                </c:pt>
                <c:pt idx="1">
                  <c:v>278.73112000000003</c:v>
                </c:pt>
                <c:pt idx="2">
                  <c:v>319.85458</c:v>
                </c:pt>
                <c:pt idx="3">
                  <c:v>352.55788000000001</c:v>
                </c:pt>
                <c:pt idx="4">
                  <c:v>376.84101999999996</c:v>
                </c:pt>
                <c:pt idx="5">
                  <c:v>392.70400000000006</c:v>
                </c:pt>
                <c:pt idx="6">
                  <c:v>397</c:v>
                </c:pt>
                <c:pt idx="7">
                  <c:v>397</c:v>
                </c:pt>
                <c:pt idx="8">
                  <c:v>389.77197999999987</c:v>
                </c:pt>
                <c:pt idx="9">
                  <c:v>371.95432</c:v>
                </c:pt>
                <c:pt idx="10">
                  <c:v>345.71649999999994</c:v>
                </c:pt>
                <c:pt idx="11">
                  <c:v>311.05851999999999</c:v>
                </c:pt>
                <c:pt idx="12">
                  <c:v>267.9803799999998</c:v>
                </c:pt>
              </c:numCache>
            </c:numRef>
          </c:val>
          <c:smooth val="0"/>
          <c:extLst>
            <c:ext xmlns:c16="http://schemas.microsoft.com/office/drawing/2014/chart" uri="{C3380CC4-5D6E-409C-BE32-E72D297353CC}">
              <c16:uniqueId val="{00000002-E273-4D90-8135-6ACF0B09E4D7}"/>
            </c:ext>
          </c:extLst>
        </c:ser>
        <c:dLbls>
          <c:showLegendKey val="0"/>
          <c:showVal val="0"/>
          <c:showCatName val="0"/>
          <c:showSerName val="0"/>
          <c:showPercent val="0"/>
          <c:showBubbleSize val="0"/>
        </c:dLbls>
        <c:marker val="1"/>
        <c:smooth val="0"/>
        <c:axId val="62440960"/>
        <c:axId val="62442880"/>
      </c:lineChart>
      <c:dateAx>
        <c:axId val="6244096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Replanting Date</a:t>
                </a:r>
              </a:p>
            </c:rich>
          </c:tx>
          <c:layout>
            <c:manualLayout>
              <c:xMode val="edge"/>
              <c:yMode val="edge"/>
              <c:x val="0.41044350781398425"/>
              <c:y val="0.79976740293545578"/>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442880"/>
        <c:crosses val="autoZero"/>
        <c:auto val="1"/>
        <c:lblOffset val="100"/>
        <c:baseTimeUnit val="days"/>
        <c:majorUnit val="7"/>
        <c:majorTimeUnit val="days"/>
        <c:minorUnit val="1"/>
        <c:minorTimeUnit val="days"/>
      </c:dateAx>
      <c:valAx>
        <c:axId val="6244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4259105252292899E-2"/>
              <c:y val="8.7441254882509686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44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Corn Is 
Not Yet Planted</a:t>
            </a:r>
          </a:p>
        </c:rich>
      </c:tx>
      <c:layout>
        <c:manualLayout>
          <c:xMode val="edge"/>
          <c:yMode val="edge"/>
          <c:x val="0.21608068654339563"/>
          <c:y val="1.8324756649513309E-2"/>
        </c:manualLayout>
      </c:layout>
      <c:overlay val="0"/>
      <c:spPr>
        <a:noFill/>
        <a:ln>
          <a:noFill/>
        </a:ln>
        <a:effectLst/>
      </c:spPr>
    </c:title>
    <c:autoTitleDeleted val="0"/>
    <c:plotArea>
      <c:layout>
        <c:manualLayout>
          <c:layoutTarget val="inner"/>
          <c:xMode val="edge"/>
          <c:yMode val="edge"/>
          <c:x val="0.11617489346089804"/>
          <c:y val="0.16104084982087419"/>
          <c:w val="0.84946377670533091"/>
          <c:h val="0.51529926506794044"/>
        </c:manualLayout>
      </c:layout>
      <c:lineChart>
        <c:grouping val="standard"/>
        <c:varyColors val="0"/>
        <c:ser>
          <c:idx val="0"/>
          <c:order val="0"/>
          <c:tx>
            <c:strRef>
              <c:f>Example!$J$62</c:f>
              <c:strCache>
                <c:ptCount val="1"/>
                <c:pt idx="0">
                  <c:v>Prevented Planting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Example!$J$64:$J$76</c:f>
              <c:numCache>
                <c:formatCode>_("$"* #,##0.00_);_("$"* \(#,##0.00\);_("$"* "-"??_);_(@_)</c:formatCode>
                <c:ptCount val="13"/>
                <c:pt idx="0">
                  <c:v>0</c:v>
                </c:pt>
                <c:pt idx="1">
                  <c:v>0</c:v>
                </c:pt>
                <c:pt idx="2">
                  <c:v>0</c:v>
                </c:pt>
                <c:pt idx="3">
                  <c:v>0</c:v>
                </c:pt>
                <c:pt idx="4">
                  <c:v>0</c:v>
                </c:pt>
                <c:pt idx="5">
                  <c:v>0</c:v>
                </c:pt>
                <c:pt idx="6">
                  <c:v>0</c:v>
                </c:pt>
                <c:pt idx="7">
                  <c:v>306.60000000000002</c:v>
                </c:pt>
                <c:pt idx="8">
                  <c:v>306.60000000000002</c:v>
                </c:pt>
                <c:pt idx="9">
                  <c:v>306.60000000000002</c:v>
                </c:pt>
                <c:pt idx="10">
                  <c:v>306.60000000000002</c:v>
                </c:pt>
                <c:pt idx="11">
                  <c:v>306.60000000000002</c:v>
                </c:pt>
                <c:pt idx="12">
                  <c:v>306.60000000000002</c:v>
                </c:pt>
              </c:numCache>
            </c:numRef>
          </c:val>
          <c:smooth val="0"/>
          <c:extLst>
            <c:ext xmlns:c16="http://schemas.microsoft.com/office/drawing/2014/chart" uri="{C3380CC4-5D6E-409C-BE32-E72D297353CC}">
              <c16:uniqueId val="{00000000-2989-4C0E-9C49-24A4CBB728B6}"/>
            </c:ext>
          </c:extLst>
        </c:ser>
        <c:ser>
          <c:idx val="1"/>
          <c:order val="1"/>
          <c:tx>
            <c:strRef>
              <c:f>Example!$K$62</c:f>
              <c:strCache>
                <c:ptCount val="1"/>
                <c:pt idx="0">
                  <c:v>Plant Late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Example!$K$64:$K$76</c:f>
              <c:numCache>
                <c:formatCode>_("$"* #,##0.00_);_("$"* \(#,##0.00\);_("$"* "-"??_);_(@_)</c:formatCode>
                <c:ptCount val="13"/>
                <c:pt idx="0">
                  <c:v>520</c:v>
                </c:pt>
                <c:pt idx="1">
                  <c:v>520</c:v>
                </c:pt>
                <c:pt idx="2">
                  <c:v>520</c:v>
                </c:pt>
                <c:pt idx="3">
                  <c:v>520</c:v>
                </c:pt>
                <c:pt idx="4">
                  <c:v>520</c:v>
                </c:pt>
                <c:pt idx="5">
                  <c:v>520</c:v>
                </c:pt>
                <c:pt idx="6">
                  <c:v>520</c:v>
                </c:pt>
                <c:pt idx="7">
                  <c:v>480.95195232000003</c:v>
                </c:pt>
                <c:pt idx="8">
                  <c:v>431.26037807999995</c:v>
                </c:pt>
                <c:pt idx="9">
                  <c:v>373.69603263999988</c:v>
                </c:pt>
                <c:pt idx="10">
                  <c:v>315.70145325000004</c:v>
                </c:pt>
                <c:pt idx="11">
                  <c:v>234.94902815999995</c:v>
                </c:pt>
                <c:pt idx="12">
                  <c:v>222.26880579000007</c:v>
                </c:pt>
              </c:numCache>
            </c:numRef>
          </c:val>
          <c:smooth val="0"/>
          <c:extLst>
            <c:ext xmlns:c16="http://schemas.microsoft.com/office/drawing/2014/chart" uri="{C3380CC4-5D6E-409C-BE32-E72D297353CC}">
              <c16:uniqueId val="{00000001-2989-4C0E-9C49-24A4CBB728B6}"/>
            </c:ext>
          </c:extLst>
        </c:ser>
        <c:ser>
          <c:idx val="2"/>
          <c:order val="2"/>
          <c:tx>
            <c:strRef>
              <c:f>Example!$L$62</c:f>
              <c:strCache>
                <c:ptCount val="1"/>
                <c:pt idx="0">
                  <c:v>Switch to Soybeans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Example!$L$64:$L$76</c:f>
              <c:numCache>
                <c:formatCode>_("$"* #,##0.00_);_("$"* \(#,##0.00\);_("$"* "-"??_);_(@_)</c:formatCode>
                <c:ptCount val="13"/>
                <c:pt idx="0">
                  <c:v>329.30749999999995</c:v>
                </c:pt>
                <c:pt idx="1">
                  <c:v>326.26291999999995</c:v>
                </c:pt>
                <c:pt idx="2">
                  <c:v>365.85458</c:v>
                </c:pt>
                <c:pt idx="3">
                  <c:v>398.55788000000001</c:v>
                </c:pt>
                <c:pt idx="4">
                  <c:v>422.84101999999996</c:v>
                </c:pt>
                <c:pt idx="5">
                  <c:v>438.70400000000006</c:v>
                </c:pt>
                <c:pt idx="6">
                  <c:v>443</c:v>
                </c:pt>
                <c:pt idx="7">
                  <c:v>443</c:v>
                </c:pt>
                <c:pt idx="8">
                  <c:v>435.77197999999987</c:v>
                </c:pt>
                <c:pt idx="9">
                  <c:v>417.95432</c:v>
                </c:pt>
                <c:pt idx="10">
                  <c:v>391.71649999999994</c:v>
                </c:pt>
                <c:pt idx="11">
                  <c:v>485.36852000000005</c:v>
                </c:pt>
                <c:pt idx="12">
                  <c:v>442.2903799999998</c:v>
                </c:pt>
              </c:numCache>
            </c:numRef>
          </c:val>
          <c:smooth val="0"/>
          <c:extLst>
            <c:ext xmlns:c16="http://schemas.microsoft.com/office/drawing/2014/chart" uri="{C3380CC4-5D6E-409C-BE32-E72D297353CC}">
              <c16:uniqueId val="{00000002-2989-4C0E-9C49-24A4CBB728B6}"/>
            </c:ext>
          </c:extLst>
        </c:ser>
        <c:dLbls>
          <c:showLegendKey val="0"/>
          <c:showVal val="0"/>
          <c:showCatName val="0"/>
          <c:showSerName val="0"/>
          <c:showPercent val="0"/>
          <c:showBubbleSize val="0"/>
        </c:dLbls>
        <c:marker val="1"/>
        <c:smooth val="0"/>
        <c:axId val="62377344"/>
        <c:axId val="62383616"/>
      </c:lineChart>
      <c:dateAx>
        <c:axId val="623773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Planting Date</a:t>
                </a:r>
              </a:p>
            </c:rich>
          </c:tx>
          <c:layout>
            <c:manualLayout>
              <c:xMode val="edge"/>
              <c:yMode val="edge"/>
              <c:x val="0.41275171799562443"/>
              <c:y val="0.8368744144520236"/>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383616"/>
        <c:crosses val="autoZero"/>
        <c:auto val="1"/>
        <c:lblOffset val="100"/>
        <c:baseTimeUnit val="days"/>
        <c:majorUnit val="7"/>
        <c:majorTimeUnit val="days"/>
        <c:minorUnit val="1"/>
        <c:minorTimeUnit val="days"/>
      </c:dateAx>
      <c:valAx>
        <c:axId val="6238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7323778347931241E-2"/>
              <c:y val="7.5899725132783591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377344"/>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Soybeans 
Are Already Planted</a:t>
            </a:r>
          </a:p>
        </c:rich>
      </c:tx>
      <c:layout>
        <c:manualLayout>
          <c:xMode val="edge"/>
          <c:yMode val="edge"/>
          <c:x val="0.23255793698433438"/>
          <c:y val="1.8666583999834674E-2"/>
        </c:manualLayout>
      </c:layout>
      <c:overlay val="0"/>
      <c:spPr>
        <a:noFill/>
        <a:ln>
          <a:noFill/>
        </a:ln>
        <a:effectLst/>
      </c:spPr>
    </c:title>
    <c:autoTitleDeleted val="0"/>
    <c:plotArea>
      <c:layout>
        <c:manualLayout>
          <c:layoutTarget val="inner"/>
          <c:xMode val="edge"/>
          <c:yMode val="edge"/>
          <c:x val="0.12715218393399741"/>
          <c:y val="0.16965573454050376"/>
          <c:w val="0.83845708802528718"/>
          <c:h val="0.51121108872997645"/>
        </c:manualLayout>
      </c:layout>
      <c:lineChart>
        <c:grouping val="standard"/>
        <c:varyColors val="0"/>
        <c:ser>
          <c:idx val="0"/>
          <c:order val="0"/>
          <c:tx>
            <c:strRef>
              <c:f>Example!$N$62</c:f>
              <c:strCache>
                <c:ptCount val="1"/>
                <c:pt idx="0">
                  <c:v>Harvest soybeans as is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Example!$N$64:$N$76</c:f>
              <c:numCache>
                <c:formatCode>_("$"* #,##0.00_);_("$"* \(#,##0.00\);_("$"* "-"??_);_(@_)</c:formatCode>
                <c:ptCount val="13"/>
                <c:pt idx="0">
                  <c:v>366.75</c:v>
                </c:pt>
                <c:pt idx="1">
                  <c:v>366.75</c:v>
                </c:pt>
                <c:pt idx="2">
                  <c:v>366.75</c:v>
                </c:pt>
                <c:pt idx="3">
                  <c:v>366.75</c:v>
                </c:pt>
                <c:pt idx="4">
                  <c:v>366.75</c:v>
                </c:pt>
                <c:pt idx="5">
                  <c:v>366.75</c:v>
                </c:pt>
                <c:pt idx="6">
                  <c:v>366.75</c:v>
                </c:pt>
                <c:pt idx="7">
                  <c:v>366.75</c:v>
                </c:pt>
                <c:pt idx="8">
                  <c:v>366.75</c:v>
                </c:pt>
                <c:pt idx="9">
                  <c:v>366.75</c:v>
                </c:pt>
                <c:pt idx="10">
                  <c:v>366.75</c:v>
                </c:pt>
                <c:pt idx="11">
                  <c:v>385.24499999999995</c:v>
                </c:pt>
                <c:pt idx="12">
                  <c:v>385.24499999999995</c:v>
                </c:pt>
              </c:numCache>
            </c:numRef>
          </c:val>
          <c:smooth val="0"/>
          <c:extLst>
            <c:ext xmlns:c16="http://schemas.microsoft.com/office/drawing/2014/chart" uri="{C3380CC4-5D6E-409C-BE32-E72D297353CC}">
              <c16:uniqueId val="{00000000-977D-4DBE-AC14-00BE2551504F}"/>
            </c:ext>
          </c:extLst>
        </c:ser>
        <c:ser>
          <c:idx val="1"/>
          <c:order val="1"/>
          <c:tx>
            <c:strRef>
              <c:f>Example!$O$62</c:f>
              <c:strCache>
                <c:ptCount val="1"/>
                <c:pt idx="0">
                  <c:v>Replant Soybeans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Example!$O$64:$O$76</c:f>
              <c:numCache>
                <c:formatCode>_("$"* #,##0.00_);_("$"* \(#,##0.00\);_("$"* "-"??_);_(@_)</c:formatCode>
                <c:ptCount val="13"/>
                <c:pt idx="0">
                  <c:v>372.92749999999995</c:v>
                </c:pt>
                <c:pt idx="1">
                  <c:v>369.88291999999996</c:v>
                </c:pt>
                <c:pt idx="2">
                  <c:v>409.47458</c:v>
                </c:pt>
                <c:pt idx="3">
                  <c:v>442.17787999999996</c:v>
                </c:pt>
                <c:pt idx="4">
                  <c:v>466.46101999999996</c:v>
                </c:pt>
                <c:pt idx="5">
                  <c:v>482.32400000000007</c:v>
                </c:pt>
                <c:pt idx="6">
                  <c:v>486.62</c:v>
                </c:pt>
                <c:pt idx="7">
                  <c:v>486.62</c:v>
                </c:pt>
                <c:pt idx="8">
                  <c:v>479.39197999999988</c:v>
                </c:pt>
                <c:pt idx="9">
                  <c:v>461.57432</c:v>
                </c:pt>
                <c:pt idx="10">
                  <c:v>435.33649999999994</c:v>
                </c:pt>
                <c:pt idx="11">
                  <c:v>400.67851999999999</c:v>
                </c:pt>
                <c:pt idx="12">
                  <c:v>370.54357999999991</c:v>
                </c:pt>
              </c:numCache>
            </c:numRef>
          </c:val>
          <c:smooth val="0"/>
          <c:extLst>
            <c:ext xmlns:c16="http://schemas.microsoft.com/office/drawing/2014/chart" uri="{C3380CC4-5D6E-409C-BE32-E72D297353CC}">
              <c16:uniqueId val="{00000001-977D-4DBE-AC14-00BE2551504F}"/>
            </c:ext>
          </c:extLst>
        </c:ser>
        <c:dLbls>
          <c:showLegendKey val="0"/>
          <c:showVal val="0"/>
          <c:showCatName val="0"/>
          <c:showSerName val="0"/>
          <c:showPercent val="0"/>
          <c:showBubbleSize val="0"/>
        </c:dLbls>
        <c:marker val="1"/>
        <c:smooth val="0"/>
        <c:axId val="68816896"/>
        <c:axId val="68818816"/>
      </c:lineChart>
      <c:dateAx>
        <c:axId val="6881689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Replanting Date</a:t>
                </a:r>
              </a:p>
            </c:rich>
          </c:tx>
          <c:layout>
            <c:manualLayout>
              <c:xMode val="edge"/>
              <c:yMode val="edge"/>
              <c:x val="0.43044624241320106"/>
              <c:y val="0.83917294973735834"/>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18816"/>
        <c:crosses val="autoZero"/>
        <c:auto val="1"/>
        <c:lblOffset val="100"/>
        <c:baseTimeUnit val="days"/>
        <c:majorUnit val="7"/>
        <c:majorTimeUnit val="days"/>
        <c:minorUnit val="1"/>
        <c:minorTimeUnit val="days"/>
      </c:dateAx>
      <c:valAx>
        <c:axId val="6881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2409797533151716E-2"/>
              <c:y val="8.4939933267023607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16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Soybeans 
Are Not Yet Planted</a:t>
            </a:r>
          </a:p>
        </c:rich>
      </c:tx>
      <c:layout>
        <c:manualLayout>
          <c:xMode val="edge"/>
          <c:yMode val="edge"/>
          <c:x val="0.23434742181890944"/>
          <c:y val="1.8324756649513309E-2"/>
        </c:manualLayout>
      </c:layout>
      <c:overlay val="0"/>
      <c:spPr>
        <a:noFill/>
        <a:ln>
          <a:noFill/>
        </a:ln>
        <a:effectLst/>
      </c:spPr>
    </c:title>
    <c:autoTitleDeleted val="0"/>
    <c:plotArea>
      <c:layout>
        <c:manualLayout>
          <c:layoutTarget val="inner"/>
          <c:xMode val="edge"/>
          <c:yMode val="edge"/>
          <c:x val="0.11769019463964855"/>
          <c:y val="0.16445314022212118"/>
          <c:w val="0.84799269042982583"/>
          <c:h val="0.50014710657920369"/>
        </c:manualLayout>
      </c:layout>
      <c:lineChart>
        <c:grouping val="standard"/>
        <c:varyColors val="0"/>
        <c:ser>
          <c:idx val="1"/>
          <c:order val="0"/>
          <c:tx>
            <c:strRef>
              <c:f>Example!$R$62</c:f>
              <c:strCache>
                <c:ptCount val="1"/>
                <c:pt idx="0">
                  <c:v>Plant Late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Example!$R$64:$R$76</c:f>
              <c:numCache>
                <c:formatCode>_("$"* #,##0.00_);_("$"* \(#,##0.00\);_("$"* "-"??_);_(@_)</c:formatCode>
                <c:ptCount val="13"/>
                <c:pt idx="0">
                  <c:v>363.30749999999995</c:v>
                </c:pt>
                <c:pt idx="1">
                  <c:v>360.26291999999995</c:v>
                </c:pt>
                <c:pt idx="2">
                  <c:v>399.85458</c:v>
                </c:pt>
                <c:pt idx="3">
                  <c:v>432.55788000000001</c:v>
                </c:pt>
                <c:pt idx="4">
                  <c:v>456.84101999999996</c:v>
                </c:pt>
                <c:pt idx="5">
                  <c:v>472.70400000000006</c:v>
                </c:pt>
                <c:pt idx="6">
                  <c:v>477</c:v>
                </c:pt>
                <c:pt idx="7">
                  <c:v>477</c:v>
                </c:pt>
                <c:pt idx="8">
                  <c:v>469.77197999999987</c:v>
                </c:pt>
                <c:pt idx="9">
                  <c:v>451.95432</c:v>
                </c:pt>
                <c:pt idx="10">
                  <c:v>425.71649999999994</c:v>
                </c:pt>
                <c:pt idx="11">
                  <c:v>391.05851999999999</c:v>
                </c:pt>
                <c:pt idx="12">
                  <c:v>347.9803799999998</c:v>
                </c:pt>
              </c:numCache>
            </c:numRef>
          </c:val>
          <c:smooth val="0"/>
          <c:extLst>
            <c:ext xmlns:c16="http://schemas.microsoft.com/office/drawing/2014/chart" uri="{C3380CC4-5D6E-409C-BE32-E72D297353CC}">
              <c16:uniqueId val="{00000000-E8D1-41B6-9E13-49AA8C2B8DD4}"/>
            </c:ext>
          </c:extLst>
        </c:ser>
        <c:ser>
          <c:idx val="0"/>
          <c:order val="1"/>
          <c:tx>
            <c:strRef>
              <c:f>Example!$Q$62</c:f>
              <c:strCache>
                <c:ptCount val="1"/>
                <c:pt idx="0">
                  <c:v>Prevented Planting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Example!$A$64:$A$76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Example!$Q$64:$Q$76</c:f>
              <c:numCache>
                <c:formatCode>_("$"* #,##0.00_);_("$"* \(#,##0.00\);_("$"* "-"??_);_(@_)</c:formatCode>
                <c:ptCount val="13"/>
                <c:pt idx="0">
                  <c:v>0</c:v>
                </c:pt>
                <c:pt idx="1">
                  <c:v>0</c:v>
                </c:pt>
                <c:pt idx="2">
                  <c:v>0</c:v>
                </c:pt>
                <c:pt idx="3">
                  <c:v>0</c:v>
                </c:pt>
                <c:pt idx="4">
                  <c:v>0</c:v>
                </c:pt>
                <c:pt idx="5">
                  <c:v>0</c:v>
                </c:pt>
                <c:pt idx="6">
                  <c:v>0</c:v>
                </c:pt>
                <c:pt idx="7">
                  <c:v>0</c:v>
                </c:pt>
                <c:pt idx="8">
                  <c:v>0</c:v>
                </c:pt>
                <c:pt idx="9">
                  <c:v>243.59699999999998</c:v>
                </c:pt>
                <c:pt idx="10">
                  <c:v>243.59699999999998</c:v>
                </c:pt>
                <c:pt idx="11">
                  <c:v>243.59699999999998</c:v>
                </c:pt>
                <c:pt idx="12">
                  <c:v>243.59699999999998</c:v>
                </c:pt>
              </c:numCache>
            </c:numRef>
          </c:val>
          <c:smooth val="0"/>
          <c:extLst>
            <c:ext xmlns:c16="http://schemas.microsoft.com/office/drawing/2014/chart" uri="{C3380CC4-5D6E-409C-BE32-E72D297353CC}">
              <c16:uniqueId val="{00000001-E8D1-41B6-9E13-49AA8C2B8DD4}"/>
            </c:ext>
          </c:extLst>
        </c:ser>
        <c:dLbls>
          <c:showLegendKey val="0"/>
          <c:showVal val="0"/>
          <c:showCatName val="0"/>
          <c:showSerName val="0"/>
          <c:showPercent val="0"/>
          <c:showBubbleSize val="0"/>
        </c:dLbls>
        <c:marker val="1"/>
        <c:smooth val="0"/>
        <c:axId val="68866432"/>
        <c:axId val="68868352"/>
      </c:lineChart>
      <c:dateAx>
        <c:axId val="68866432"/>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Planting  Date</a:t>
                </a:r>
              </a:p>
            </c:rich>
          </c:tx>
          <c:layout>
            <c:manualLayout>
              <c:xMode val="edge"/>
              <c:yMode val="edge"/>
              <c:x val="0.4358126095387122"/>
              <c:y val="0.8234964603494187"/>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68352"/>
        <c:crosses val="autoZero"/>
        <c:auto val="1"/>
        <c:lblOffset val="100"/>
        <c:baseTimeUnit val="days"/>
        <c:majorUnit val="7"/>
        <c:majorTimeUnit val="days"/>
        <c:minorUnit val="1"/>
        <c:minorTimeUnit val="days"/>
      </c:dateAx>
      <c:valAx>
        <c:axId val="6886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9025547381686422E-2"/>
              <c:y val="6.8367863869584988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6643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9.7864768683274105E-3"/>
          <c:y val="1.4397905759162303E-2"/>
          <c:w val="0.97508896797153"/>
          <c:h val="0.97120418848167567"/>
        </c:manualLayout>
      </c:layout>
      <c:barChart>
        <c:barDir val="col"/>
        <c:grouping val="clustered"/>
        <c:varyColors val="0"/>
        <c:dLbls>
          <c:showLegendKey val="0"/>
          <c:showVal val="0"/>
          <c:showCatName val="0"/>
          <c:showSerName val="0"/>
          <c:showPercent val="0"/>
          <c:showBubbleSize val="0"/>
        </c:dLbls>
        <c:gapWidth val="150"/>
        <c:axId val="61918208"/>
        <c:axId val="60756736"/>
      </c:barChart>
      <c:catAx>
        <c:axId val="61918208"/>
        <c:scaling>
          <c:orientation val="minMax"/>
        </c:scaling>
        <c:delete val="0"/>
        <c:axPos val="b"/>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756736"/>
        <c:crosses val="autoZero"/>
        <c:auto val="1"/>
        <c:lblAlgn val="ctr"/>
        <c:lblOffset val="100"/>
        <c:tickMarkSkip val="1"/>
        <c:noMultiLvlLbl val="0"/>
      </c:catAx>
      <c:valAx>
        <c:axId val="60756736"/>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1918208"/>
        <c:crosses val="autoZero"/>
        <c:crossBetween val="between"/>
      </c:valAx>
      <c:spPr>
        <a:solidFill>
          <a:srgbClr val="C0C0C0"/>
        </a:solidFill>
        <a:ln w="12700">
          <a:solidFill>
            <a:srgbClr val="808080"/>
          </a:solidFill>
          <a:prstDash val="solid"/>
        </a:ln>
      </c:spPr>
    </c:plotArea>
    <c:legend>
      <c:legendPos val="r"/>
      <c:layout>
        <c:manualLayout>
          <c:xMode val="edge"/>
          <c:yMode val="edge"/>
          <c:x val="0.99644120208804654"/>
          <c:y val="0.5"/>
          <c:w val="0"/>
          <c:h val="1.3090805509776708E-3"/>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Corn 
Is Already Planted</a:t>
            </a:r>
          </a:p>
        </c:rich>
      </c:tx>
      <c:layout>
        <c:manualLayout>
          <c:xMode val="edge"/>
          <c:yMode val="edge"/>
          <c:x val="0.25870063994809639"/>
          <c:y val="1.8666583999834674E-2"/>
        </c:manualLayout>
      </c:layout>
      <c:overlay val="0"/>
      <c:spPr>
        <a:noFill/>
        <a:ln>
          <a:noFill/>
        </a:ln>
        <a:effectLst/>
      </c:spPr>
    </c:title>
    <c:autoTitleDeleted val="0"/>
    <c:plotArea>
      <c:layout>
        <c:manualLayout>
          <c:layoutTarget val="inner"/>
          <c:xMode val="edge"/>
          <c:yMode val="edge"/>
          <c:x val="0.11925666285264877"/>
          <c:y val="0.18630663938065911"/>
          <c:w val="0.84234730738713182"/>
          <c:h val="0.45594892483978899"/>
        </c:manualLayout>
      </c:layout>
      <c:lineChart>
        <c:grouping val="standard"/>
        <c:varyColors val="0"/>
        <c:ser>
          <c:idx val="0"/>
          <c:order val="0"/>
          <c:tx>
            <c:strRef>
              <c:f>Blank!$F$62</c:f>
              <c:strCache>
                <c:ptCount val="1"/>
                <c:pt idx="0">
                  <c:v>Harvest 
corn as is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Blank!$F$64:$F$76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CD72-4E97-B92F-0FE6990C4CFE}"/>
            </c:ext>
          </c:extLst>
        </c:ser>
        <c:ser>
          <c:idx val="1"/>
          <c:order val="1"/>
          <c:tx>
            <c:strRef>
              <c:f>Blank!$G$62</c:f>
              <c:strCache>
                <c:ptCount val="1"/>
                <c:pt idx="0">
                  <c:v>Replant Corn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Blank!$G$64:$G$76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CD72-4E97-B92F-0FE6990C4CFE}"/>
            </c:ext>
          </c:extLst>
        </c:ser>
        <c:ser>
          <c:idx val="2"/>
          <c:order val="2"/>
          <c:tx>
            <c:strRef>
              <c:f>Blank!$H$62</c:f>
              <c:strCache>
                <c:ptCount val="1"/>
                <c:pt idx="0">
                  <c:v>Switch to Soybeans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Blank!$H$64:$H$76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CD72-4E97-B92F-0FE6990C4CFE}"/>
            </c:ext>
          </c:extLst>
        </c:ser>
        <c:dLbls>
          <c:showLegendKey val="0"/>
          <c:showVal val="0"/>
          <c:showCatName val="0"/>
          <c:showSerName val="0"/>
          <c:showPercent val="0"/>
          <c:showBubbleSize val="0"/>
        </c:dLbls>
        <c:marker val="1"/>
        <c:smooth val="0"/>
        <c:axId val="62440960"/>
        <c:axId val="62442880"/>
      </c:lineChart>
      <c:dateAx>
        <c:axId val="6244096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Replanting Date</a:t>
                </a:r>
              </a:p>
            </c:rich>
          </c:tx>
          <c:layout>
            <c:manualLayout>
              <c:xMode val="edge"/>
              <c:yMode val="edge"/>
              <c:x val="0.41044350781398425"/>
              <c:y val="0.79976740293545578"/>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442880"/>
        <c:crosses val="autoZero"/>
        <c:auto val="1"/>
        <c:lblOffset val="100"/>
        <c:baseTimeUnit val="days"/>
        <c:majorUnit val="7"/>
        <c:majorTimeUnit val="days"/>
        <c:minorUnit val="1"/>
        <c:minorTimeUnit val="days"/>
      </c:dateAx>
      <c:valAx>
        <c:axId val="62442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4259105252292899E-2"/>
              <c:y val="8.7441254882509686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44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Corn Is 
Not Yet Planted</a:t>
            </a:r>
          </a:p>
        </c:rich>
      </c:tx>
      <c:layout>
        <c:manualLayout>
          <c:xMode val="edge"/>
          <c:yMode val="edge"/>
          <c:x val="0.21608068654339563"/>
          <c:y val="1.8324756649513309E-2"/>
        </c:manualLayout>
      </c:layout>
      <c:overlay val="0"/>
      <c:spPr>
        <a:noFill/>
        <a:ln>
          <a:noFill/>
        </a:ln>
        <a:effectLst/>
      </c:spPr>
    </c:title>
    <c:autoTitleDeleted val="0"/>
    <c:plotArea>
      <c:layout>
        <c:manualLayout>
          <c:layoutTarget val="inner"/>
          <c:xMode val="edge"/>
          <c:yMode val="edge"/>
          <c:x val="0.11617489346089804"/>
          <c:y val="0.16104084982087419"/>
          <c:w val="0.84946377670533091"/>
          <c:h val="0.51529926506794044"/>
        </c:manualLayout>
      </c:layout>
      <c:lineChart>
        <c:grouping val="standard"/>
        <c:varyColors val="0"/>
        <c:ser>
          <c:idx val="0"/>
          <c:order val="0"/>
          <c:tx>
            <c:strRef>
              <c:f>Blank!$J$62</c:f>
              <c:strCache>
                <c:ptCount val="1"/>
                <c:pt idx="0">
                  <c:v>Prevented Planting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Blank!$J$64:$J$76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DFE8-43F1-BC70-B6FD71706879}"/>
            </c:ext>
          </c:extLst>
        </c:ser>
        <c:ser>
          <c:idx val="1"/>
          <c:order val="1"/>
          <c:tx>
            <c:strRef>
              <c:f>Blank!$K$62</c:f>
              <c:strCache>
                <c:ptCount val="1"/>
                <c:pt idx="0">
                  <c:v>Plant Late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Blank!$K$64:$K$76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DFE8-43F1-BC70-B6FD71706879}"/>
            </c:ext>
          </c:extLst>
        </c:ser>
        <c:ser>
          <c:idx val="2"/>
          <c:order val="2"/>
          <c:tx>
            <c:strRef>
              <c:f>Blank!$L$62</c:f>
              <c:strCache>
                <c:ptCount val="1"/>
                <c:pt idx="0">
                  <c:v>Switch to Soybeans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Blank!$L$64:$L$76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DFE8-43F1-BC70-B6FD71706879}"/>
            </c:ext>
          </c:extLst>
        </c:ser>
        <c:dLbls>
          <c:showLegendKey val="0"/>
          <c:showVal val="0"/>
          <c:showCatName val="0"/>
          <c:showSerName val="0"/>
          <c:showPercent val="0"/>
          <c:showBubbleSize val="0"/>
        </c:dLbls>
        <c:marker val="1"/>
        <c:smooth val="0"/>
        <c:axId val="62377344"/>
        <c:axId val="62383616"/>
      </c:lineChart>
      <c:dateAx>
        <c:axId val="623773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Planting Date</a:t>
                </a:r>
              </a:p>
            </c:rich>
          </c:tx>
          <c:layout>
            <c:manualLayout>
              <c:xMode val="edge"/>
              <c:yMode val="edge"/>
              <c:x val="0.41275171799562443"/>
              <c:y val="0.8368744144520236"/>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383616"/>
        <c:crosses val="autoZero"/>
        <c:auto val="1"/>
        <c:lblOffset val="100"/>
        <c:baseTimeUnit val="days"/>
        <c:majorUnit val="7"/>
        <c:majorTimeUnit val="days"/>
        <c:minorUnit val="1"/>
        <c:minorTimeUnit val="days"/>
      </c:dateAx>
      <c:valAx>
        <c:axId val="62383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7323778347931241E-2"/>
              <c:y val="7.5899725132783591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377344"/>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Comparison of Alternatives When Soybeans 
Are Already Planted</a:t>
            </a:r>
          </a:p>
        </c:rich>
      </c:tx>
      <c:layout>
        <c:manualLayout>
          <c:xMode val="edge"/>
          <c:yMode val="edge"/>
          <c:x val="0.23255793698433438"/>
          <c:y val="1.8666583999834674E-2"/>
        </c:manualLayout>
      </c:layout>
      <c:overlay val="0"/>
      <c:spPr>
        <a:noFill/>
        <a:ln>
          <a:noFill/>
        </a:ln>
        <a:effectLst/>
      </c:spPr>
    </c:title>
    <c:autoTitleDeleted val="0"/>
    <c:plotArea>
      <c:layout>
        <c:manualLayout>
          <c:layoutTarget val="inner"/>
          <c:xMode val="edge"/>
          <c:yMode val="edge"/>
          <c:x val="0.12715218393399741"/>
          <c:y val="0.16965573454050376"/>
          <c:w val="0.83845708802528718"/>
          <c:h val="0.51121108872997645"/>
        </c:manualLayout>
      </c:layout>
      <c:lineChart>
        <c:grouping val="standard"/>
        <c:varyColors val="0"/>
        <c:ser>
          <c:idx val="0"/>
          <c:order val="0"/>
          <c:tx>
            <c:strRef>
              <c:f>Blank!$N$62</c:f>
              <c:strCache>
                <c:ptCount val="1"/>
                <c:pt idx="0">
                  <c:v>Harvest soybeans as is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Blank!$N$64:$N$76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2C8A-47E3-B7F8-3CE182075799}"/>
            </c:ext>
          </c:extLst>
        </c:ser>
        <c:ser>
          <c:idx val="1"/>
          <c:order val="1"/>
          <c:tx>
            <c:strRef>
              <c:f>Blank!$O$62</c:f>
              <c:strCache>
                <c:ptCount val="1"/>
                <c:pt idx="0">
                  <c:v>Replant Soybeans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Blank!$A$64:$A$76</c:f>
              <c:numCache>
                <c:formatCode>[$-409]d\-mmm;@</c:formatCode>
                <c:ptCount val="13"/>
                <c:pt idx="0">
                  <c:v>43571</c:v>
                </c:pt>
                <c:pt idx="1">
                  <c:v>43578</c:v>
                </c:pt>
                <c:pt idx="2">
                  <c:v>43585</c:v>
                </c:pt>
                <c:pt idx="3">
                  <c:v>43592</c:v>
                </c:pt>
                <c:pt idx="4">
                  <c:v>43599</c:v>
                </c:pt>
                <c:pt idx="5" formatCode="d\-mmm">
                  <c:v>43606</c:v>
                </c:pt>
                <c:pt idx="6" formatCode="d\-mmm">
                  <c:v>43613</c:v>
                </c:pt>
                <c:pt idx="7" formatCode="d\-mmm">
                  <c:v>43620</c:v>
                </c:pt>
                <c:pt idx="8" formatCode="d\-mmm">
                  <c:v>43627</c:v>
                </c:pt>
                <c:pt idx="9" formatCode="d\-mmm">
                  <c:v>43634</c:v>
                </c:pt>
                <c:pt idx="10" formatCode="d\-mmm">
                  <c:v>43641</c:v>
                </c:pt>
                <c:pt idx="11" formatCode="d\-mmm">
                  <c:v>43648</c:v>
                </c:pt>
                <c:pt idx="12" formatCode="d\-mmm">
                  <c:v>43655</c:v>
                </c:pt>
              </c:numCache>
            </c:numRef>
          </c:cat>
          <c:val>
            <c:numRef>
              <c:f>Blank!$O$64:$O$76</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2C8A-47E3-B7F8-3CE182075799}"/>
            </c:ext>
          </c:extLst>
        </c:ser>
        <c:dLbls>
          <c:showLegendKey val="0"/>
          <c:showVal val="0"/>
          <c:showCatName val="0"/>
          <c:showSerName val="0"/>
          <c:showPercent val="0"/>
          <c:showBubbleSize val="0"/>
        </c:dLbls>
        <c:marker val="1"/>
        <c:smooth val="0"/>
        <c:axId val="68816896"/>
        <c:axId val="68818816"/>
      </c:lineChart>
      <c:dateAx>
        <c:axId val="6881689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Replanting Date</a:t>
                </a:r>
              </a:p>
            </c:rich>
          </c:tx>
          <c:layout>
            <c:manualLayout>
              <c:xMode val="edge"/>
              <c:yMode val="edge"/>
              <c:x val="0.43044624241320106"/>
              <c:y val="0.83917294973735834"/>
            </c:manualLayout>
          </c:layout>
          <c:overlay val="0"/>
          <c:spPr>
            <a:noFill/>
            <a:ln>
              <a:noFill/>
            </a:ln>
            <a:effectLst/>
          </c:spPr>
        </c:title>
        <c:numFmt formatCode="[$-409]d\-mmm;@" sourceLinked="0"/>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18816"/>
        <c:crosses val="autoZero"/>
        <c:auto val="1"/>
        <c:lblOffset val="100"/>
        <c:baseTimeUnit val="days"/>
        <c:majorUnit val="7"/>
        <c:majorTimeUnit val="days"/>
        <c:minorUnit val="1"/>
        <c:minorTimeUnit val="days"/>
      </c:dateAx>
      <c:valAx>
        <c:axId val="6881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$/acre</a:t>
                </a:r>
              </a:p>
            </c:rich>
          </c:tx>
          <c:layout>
            <c:manualLayout>
              <c:xMode val="edge"/>
              <c:yMode val="edge"/>
              <c:x val="1.2409797533151716E-2"/>
              <c:y val="8.4939933267023607E-2"/>
            </c:manualLayout>
          </c:layout>
          <c:overlay val="0"/>
          <c:spPr>
            <a:noFill/>
            <a:ln>
              <a:noFill/>
            </a:ln>
            <a:effectLst/>
          </c:spPr>
        </c:title>
        <c:numFmt formatCode="\$#,##0_);\(\$#,##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8816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033" r="0.75000000000000033" t="1" header="0.5" footer="0.5"/>
    <c:pageSetup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1"/>
  <sheetViews>
    <sheetView zoomScale="80" workbookViewId="0" zoomToFit="1"/>
  </sheetViews>
  <sheetProtection content="1" objects="1"/>
  <pageMargins left="0.75" right="0.75" top="0.75" bottom="0.75"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80" workbookViewId="0" zoomToFit="1"/>
  </sheetViews>
  <sheetProtection content="1" objects="1"/>
  <pageMargins left="0.75" right="0.75" top="0.75" bottom="0.75" header="0.5" footer="0.5"/>
  <pageSetup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1</xdr:col>
      <xdr:colOff>450110</xdr:colOff>
      <xdr:row>50</xdr:row>
      <xdr:rowOff>127500</xdr:rowOff>
    </xdr:from>
    <xdr:to>
      <xdr:col>3</xdr:col>
      <xdr:colOff>682247</xdr:colOff>
      <xdr:row>55</xdr:row>
      <xdr:rowOff>79876</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7116" y="8445341"/>
          <a:ext cx="2260963"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61717" cy="6275717"/>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cdr:y>
    </cdr:from>
    <cdr:to>
      <cdr:x>0.497</cdr:x>
      <cdr:y>0.496</cdr:y>
    </cdr:to>
    <cdr:graphicFrame macro="">
      <cdr:nvGraphicFramePr>
        <cdr:cNvPr id="2069" name="Chart 21">
          <a:extLst xmlns:a="http://schemas.openxmlformats.org/drawingml/2006/main">
            <a:ext uri="{FF2B5EF4-FFF2-40B4-BE49-F238E27FC236}">
              <a16:creationId xmlns:a16="http://schemas.microsoft.com/office/drawing/2014/main" id="{DFA1BA08-6538-4DC3-91AD-AAE59E834FA8}"/>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0.5055</cdr:y>
    </cdr:from>
    <cdr:to>
      <cdr:x>0.49697</cdr:x>
      <cdr:y>1</cdr:y>
    </cdr:to>
    <cdr:graphicFrame macro="">
      <cdr:nvGraphicFramePr>
        <cdr:cNvPr id="2070" name="Chart 22">
          <a:extLst xmlns:a="http://schemas.openxmlformats.org/drawingml/2006/main">
            <a:ext uri="{FF2B5EF4-FFF2-40B4-BE49-F238E27FC236}">
              <a16:creationId xmlns:a16="http://schemas.microsoft.com/office/drawing/2014/main" id="{B3CA3B33-980F-4501-9BFF-03B7630B5DCB}"/>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0.50375</cdr:x>
      <cdr:y>0</cdr:y>
    </cdr:from>
    <cdr:to>
      <cdr:x>0.999</cdr:x>
      <cdr:y>0.496</cdr:y>
    </cdr:to>
    <cdr:graphicFrame macro="">
      <cdr:nvGraphicFramePr>
        <cdr:cNvPr id="2071" name="Chart 23">
          <a:extLst xmlns:a="http://schemas.openxmlformats.org/drawingml/2006/main">
            <a:ext uri="{FF2B5EF4-FFF2-40B4-BE49-F238E27FC236}">
              <a16:creationId xmlns:a16="http://schemas.microsoft.com/office/drawing/2014/main" id="{40BC5A08-AD37-4DF1-AC1E-585F272F9674}"/>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0.50375</cdr:x>
      <cdr:y>0.5055</cdr:y>
    </cdr:from>
    <cdr:to>
      <cdr:x>0.999</cdr:x>
      <cdr:y>0.99525</cdr:y>
    </cdr:to>
    <cdr:graphicFrame macro="">
      <cdr:nvGraphicFramePr>
        <cdr:cNvPr id="2072" name="Chart 24">
          <a:extLst xmlns:a="http://schemas.openxmlformats.org/drawingml/2006/main">
            <a:ext uri="{FF2B5EF4-FFF2-40B4-BE49-F238E27FC236}">
              <a16:creationId xmlns:a16="http://schemas.microsoft.com/office/drawing/2014/main" id="{4CEF6BF6-1EDF-4FA7-B8FA-234B6349E818}"/>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450110</xdr:colOff>
      <xdr:row>50</xdr:row>
      <xdr:rowOff>127500</xdr:rowOff>
    </xdr:from>
    <xdr:to>
      <xdr:col>3</xdr:col>
      <xdr:colOff>682247</xdr:colOff>
      <xdr:row>55</xdr:row>
      <xdr:rowOff>79876</xdr:rowOff>
    </xdr:to>
    <xdr:pic>
      <xdr:nvPicPr>
        <xdr:cNvPr id="2" name="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21" y="8521002"/>
          <a:ext cx="2336983" cy="7805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8561717" cy="627571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0.497</cdr:x>
      <cdr:y>0.496</cdr:y>
    </cdr:to>
    <cdr:graphicFrame macro="">
      <cdr:nvGraphicFramePr>
        <cdr:cNvPr id="2069" name="Chart 21">
          <a:extLst xmlns:a="http://schemas.openxmlformats.org/drawingml/2006/main">
            <a:ext uri="{FF2B5EF4-FFF2-40B4-BE49-F238E27FC236}">
              <a16:creationId xmlns:a16="http://schemas.microsoft.com/office/drawing/2014/main" id="{D9F3B0C7-E11A-44B3-93E5-9E25A9E9E3B7}"/>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0.5055</cdr:y>
    </cdr:from>
    <cdr:to>
      <cdr:x>0.49697</cdr:x>
      <cdr:y>1</cdr:y>
    </cdr:to>
    <cdr:graphicFrame macro="">
      <cdr:nvGraphicFramePr>
        <cdr:cNvPr id="2070" name="Chart 22">
          <a:extLst xmlns:a="http://schemas.openxmlformats.org/drawingml/2006/main">
            <a:ext uri="{FF2B5EF4-FFF2-40B4-BE49-F238E27FC236}">
              <a16:creationId xmlns:a16="http://schemas.microsoft.com/office/drawing/2014/main" id="{53B55AF7-579D-4E30-83A9-7FFCBD8CB346}"/>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0.50375</cdr:x>
      <cdr:y>0</cdr:y>
    </cdr:from>
    <cdr:to>
      <cdr:x>0.999</cdr:x>
      <cdr:y>0.496</cdr:y>
    </cdr:to>
    <cdr:graphicFrame macro="">
      <cdr:nvGraphicFramePr>
        <cdr:cNvPr id="2071" name="Chart 23">
          <a:extLst xmlns:a="http://schemas.openxmlformats.org/drawingml/2006/main">
            <a:ext uri="{FF2B5EF4-FFF2-40B4-BE49-F238E27FC236}">
              <a16:creationId xmlns:a16="http://schemas.microsoft.com/office/drawing/2014/main" id="{CF8EB03D-AC84-4771-91C7-A3439BC7EB65}"/>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0.50375</cdr:x>
      <cdr:y>0.5055</cdr:y>
    </cdr:from>
    <cdr:to>
      <cdr:x>0.999</cdr:x>
      <cdr:y>0.99525</cdr:y>
    </cdr:to>
    <cdr:graphicFrame macro="">
      <cdr:nvGraphicFramePr>
        <cdr:cNvPr id="2072" name="Chart 24">
          <a:extLst xmlns:a="http://schemas.openxmlformats.org/drawingml/2006/main">
            <a:ext uri="{FF2B5EF4-FFF2-40B4-BE49-F238E27FC236}">
              <a16:creationId xmlns:a16="http://schemas.microsoft.com/office/drawing/2014/main" id="{CCAC06EA-6A6C-482C-B961-3954C5D08A7C}"/>
            </a:ext>
          </a:extLst>
        </cdr:cNvPr>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cdr:graphicFrame>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1</xdr:colOff>
      <xdr:row>49</xdr:row>
      <xdr:rowOff>0</xdr:rowOff>
    </xdr:from>
    <xdr:to>
      <xdr:col>4</xdr:col>
      <xdr:colOff>785004</xdr:colOff>
      <xdr:row>62</xdr:row>
      <xdr:rowOff>94612</xdr:rowOff>
    </xdr:to>
    <xdr:pic>
      <xdr:nvPicPr>
        <xdr:cNvPr id="2" name="Picture 1" descr="Table from source data showing effect of planting date on soybean yield in Iow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1" y="8212347"/>
          <a:ext cx="4209690" cy="22425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agdm@iastate.edu?subject=A1-57%20AgDM%20Spreadsheet%20Late%20and%20Prevented%20Planting" TargetMode="External"/><Relationship Id="rId7" Type="http://schemas.openxmlformats.org/officeDocument/2006/relationships/vmlDrawing" Target="../drawings/vmlDrawing1.vml"/><Relationship Id="rId2" Type="http://schemas.openxmlformats.org/officeDocument/2006/relationships/hyperlink" Target="http://www.extension.iastate.edu/agdm/crops/pdf/a3-24.pdf" TargetMode="External"/><Relationship Id="rId1" Type="http://schemas.openxmlformats.org/officeDocument/2006/relationships/hyperlink" Target="http://www.extension.iastate.edu/agdm/crops/html/a1-57.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extension.iastate.edu/agdm/crops/pdf/a1-57.pdf"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agdm@iastate.edu?subject=A1-57%20AgDM%20Spreadsheet%20Late%20and%20Prevented%20Planting" TargetMode="External"/><Relationship Id="rId7" Type="http://schemas.openxmlformats.org/officeDocument/2006/relationships/vmlDrawing" Target="../drawings/vmlDrawing2.vml"/><Relationship Id="rId2" Type="http://schemas.openxmlformats.org/officeDocument/2006/relationships/hyperlink" Target="http://www.extension.iastate.edu/agdm/crops/pdf/a3-24.pdf" TargetMode="External"/><Relationship Id="rId1" Type="http://schemas.openxmlformats.org/officeDocument/2006/relationships/hyperlink" Target="http://www.extension.iastate.edu/agdm/crops/html/a1-57.pdf" TargetMode="External"/><Relationship Id="rId6" Type="http://schemas.openxmlformats.org/officeDocument/2006/relationships/drawing" Target="../drawings/drawing4.xml"/><Relationship Id="rId5" Type="http://schemas.openxmlformats.org/officeDocument/2006/relationships/printerSettings" Target="../printerSettings/printerSettings3.bin"/><Relationship Id="rId4" Type="http://schemas.openxmlformats.org/officeDocument/2006/relationships/hyperlink" Target="http://www.extension.iastate.edu/agdm/crops/pdf/a1-5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xtension.iastate.edu/Publications/PM1851.pdf" TargetMode="External"/><Relationship Id="rId2" Type="http://schemas.openxmlformats.org/officeDocument/2006/relationships/hyperlink" Target="http://www.agronext.iastate.edu/corn/cropmodel/yield.php" TargetMode="External"/><Relationship Id="rId1" Type="http://schemas.openxmlformats.org/officeDocument/2006/relationships/printerSettings" Target="../printerSettings/printerSettings5.bin"/><Relationship Id="rId6" Type="http://schemas.openxmlformats.org/officeDocument/2006/relationships/drawing" Target="../drawings/drawing7.xml"/><Relationship Id="rId5" Type="http://schemas.openxmlformats.org/officeDocument/2006/relationships/printerSettings" Target="../printerSettings/printerSettings6.bin"/><Relationship Id="rId4" Type="http://schemas.openxmlformats.org/officeDocument/2006/relationships/hyperlink" Target="http://prodwebnlb.rma.usda.gov/apps/PriceDiscovery/GetPrices/YourPri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7"/>
  <sheetViews>
    <sheetView showGridLines="0" tabSelected="1" zoomScale="80" zoomScaleNormal="80" workbookViewId="0">
      <pane xSplit="4" ySplit="10" topLeftCell="E11" activePane="bottomRight" state="frozen"/>
      <selection pane="topRight" activeCell="E1" sqref="E1"/>
      <selection pane="bottomLeft" activeCell="A11" sqref="A11"/>
      <selection pane="bottomRight"/>
    </sheetView>
  </sheetViews>
  <sheetFormatPr defaultColWidth="9" defaultRowHeight="12.75" x14ac:dyDescent="0.2"/>
  <cols>
    <col min="1" max="1" width="40.7109375" style="39" customWidth="1"/>
    <col min="2" max="2" width="15.7109375" style="39" customWidth="1"/>
    <col min="3" max="4" width="14.7109375" style="39" customWidth="1"/>
    <col min="5" max="5" width="10.140625" style="39" bestFit="1" customWidth="1"/>
    <col min="6" max="8" width="14.7109375" style="39" customWidth="1"/>
    <col min="9" max="9" width="1.7109375" style="39" customWidth="1"/>
    <col min="10" max="12" width="14.7109375" style="39" customWidth="1"/>
    <col min="13" max="13" width="1.7109375" style="39" customWidth="1"/>
    <col min="14" max="15" width="16" style="39" customWidth="1"/>
    <col min="16" max="16" width="1.7109375" style="39" customWidth="1"/>
    <col min="17" max="18" width="15.28515625" style="39" customWidth="1"/>
    <col min="19" max="20" width="9" style="39"/>
    <col min="21" max="28" width="9" style="200"/>
    <col min="29" max="16384" width="9" style="39"/>
  </cols>
  <sheetData>
    <row r="1" spans="1:31" s="99" customFormat="1" ht="18.75" thickBot="1" x14ac:dyDescent="0.3">
      <c r="A1" s="99" t="s">
        <v>35</v>
      </c>
      <c r="S1" s="199"/>
      <c r="T1" s="199"/>
      <c r="U1" s="199"/>
      <c r="V1" s="199"/>
      <c r="W1" s="199"/>
      <c r="X1" s="199"/>
      <c r="Y1" s="199"/>
      <c r="Z1" s="199"/>
      <c r="AA1" s="199"/>
      <c r="AB1" s="199"/>
      <c r="AC1" s="199"/>
    </row>
    <row r="2" spans="1:31" ht="15.75" thickTop="1" x14ac:dyDescent="0.25">
      <c r="A2" s="37" t="s">
        <v>68</v>
      </c>
      <c r="B2" s="37"/>
      <c r="C2" s="38"/>
      <c r="S2" s="200"/>
      <c r="T2" s="200"/>
      <c r="AC2" s="200"/>
    </row>
    <row r="3" spans="1:31" ht="12.75" customHeight="1" x14ac:dyDescent="0.2">
      <c r="A3" s="378" t="s">
        <v>69</v>
      </c>
      <c r="B3" s="378"/>
      <c r="C3" s="378"/>
      <c r="D3" s="378"/>
      <c r="E3" s="378"/>
      <c r="F3" s="378"/>
      <c r="G3" s="40"/>
      <c r="H3" s="40"/>
      <c r="M3" s="40"/>
      <c r="N3" s="40"/>
      <c r="S3" s="200"/>
      <c r="T3" s="200"/>
      <c r="X3" s="206"/>
      <c r="AC3" s="200"/>
    </row>
    <row r="4" spans="1:31" x14ac:dyDescent="0.2">
      <c r="S4" s="200"/>
      <c r="T4" s="200"/>
      <c r="V4" s="82" t="str">
        <f>Data!B27</f>
        <v>Northern</v>
      </c>
      <c r="W4" s="82" t="str">
        <f>Data!B3</f>
        <v>None, ARPI</v>
      </c>
      <c r="X4" s="206"/>
      <c r="Y4" s="206"/>
      <c r="Z4" s="206"/>
      <c r="AA4" s="206"/>
      <c r="AB4" s="206"/>
      <c r="AC4" s="200"/>
    </row>
    <row r="5" spans="1:31" x14ac:dyDescent="0.2">
      <c r="A5" s="379" t="s">
        <v>45</v>
      </c>
      <c r="B5" s="379"/>
      <c r="C5" s="379"/>
      <c r="D5" s="41"/>
      <c r="E5" s="41"/>
      <c r="F5" s="41"/>
      <c r="G5" s="41"/>
      <c r="S5" s="200"/>
      <c r="T5" s="200"/>
      <c r="V5" s="82" t="str">
        <f>Data!B28</f>
        <v>Central</v>
      </c>
      <c r="W5" s="82" t="str">
        <f>Data!B4</f>
        <v>Catastrophic</v>
      </c>
      <c r="X5" s="206"/>
      <c r="Y5" s="206"/>
      <c r="Z5" s="206"/>
      <c r="AA5" s="206"/>
      <c r="AB5" s="206"/>
      <c r="AC5" s="200"/>
    </row>
    <row r="6" spans="1:31" ht="13.5" thickBot="1" x14ac:dyDescent="0.25">
      <c r="A6" s="380" t="s">
        <v>46</v>
      </c>
      <c r="B6" s="381"/>
      <c r="C6" s="43"/>
      <c r="D6" s="43"/>
      <c r="S6" s="200"/>
      <c r="T6" s="200"/>
      <c r="V6" s="82" t="str">
        <f>Data!B29</f>
        <v>Southern</v>
      </c>
      <c r="W6" s="82" t="str">
        <f>Data!B5</f>
        <v>Yield Protection</v>
      </c>
      <c r="X6" s="206"/>
      <c r="Y6" s="206"/>
      <c r="Z6" s="206"/>
      <c r="AA6" s="206"/>
      <c r="AB6" s="206"/>
      <c r="AC6" s="200"/>
    </row>
    <row r="7" spans="1:31" ht="15.75" thickBot="1" x14ac:dyDescent="0.3">
      <c r="A7" s="42"/>
      <c r="B7" s="42"/>
      <c r="C7" s="42"/>
      <c r="D7" s="42"/>
      <c r="F7" s="382" t="s">
        <v>104</v>
      </c>
      <c r="G7" s="383"/>
      <c r="H7" s="384"/>
      <c r="I7" s="304"/>
      <c r="J7" s="382" t="s">
        <v>110</v>
      </c>
      <c r="K7" s="383"/>
      <c r="L7" s="384"/>
      <c r="M7" s="304"/>
      <c r="N7" s="382" t="s">
        <v>104</v>
      </c>
      <c r="O7" s="384"/>
      <c r="P7" s="304"/>
      <c r="Q7" s="382" t="s">
        <v>108</v>
      </c>
      <c r="R7" s="384"/>
      <c r="S7" s="200"/>
      <c r="T7" s="200"/>
      <c r="V7" s="82"/>
      <c r="W7" s="82" t="str">
        <f>Data!B6</f>
        <v>Revenue Prot.</v>
      </c>
      <c r="X7" s="206"/>
      <c r="Y7" s="206"/>
      <c r="Z7" s="206"/>
      <c r="AA7" s="206"/>
      <c r="AB7" s="206"/>
      <c r="AC7" s="200"/>
    </row>
    <row r="8" spans="1:31" s="29" customFormat="1" ht="15.75" thickBot="1" x14ac:dyDescent="0.3">
      <c r="A8" s="31"/>
      <c r="B8" s="71"/>
      <c r="C8" s="288" t="s">
        <v>0</v>
      </c>
      <c r="D8" s="286" t="s">
        <v>1</v>
      </c>
      <c r="E8" s="30"/>
      <c r="F8" s="385" t="s">
        <v>105</v>
      </c>
      <c r="G8" s="386"/>
      <c r="H8" s="387"/>
      <c r="I8" s="100"/>
      <c r="J8" s="385" t="s">
        <v>106</v>
      </c>
      <c r="K8" s="386"/>
      <c r="L8" s="387"/>
      <c r="M8" s="101"/>
      <c r="N8" s="385" t="s">
        <v>107</v>
      </c>
      <c r="O8" s="387"/>
      <c r="P8" s="101"/>
      <c r="Q8" s="385" t="s">
        <v>109</v>
      </c>
      <c r="R8" s="387"/>
      <c r="S8" s="248"/>
      <c r="T8" s="201"/>
      <c r="U8" s="201"/>
      <c r="V8" s="298"/>
      <c r="W8" s="82" t="str">
        <f>Data!B7</f>
        <v>Rev. Prot. HPE</v>
      </c>
      <c r="X8" s="297"/>
      <c r="Y8" s="297"/>
      <c r="Z8" s="302"/>
      <c r="AA8" s="303"/>
      <c r="AB8" s="297"/>
      <c r="AC8" s="249"/>
      <c r="AE8" s="52"/>
    </row>
    <row r="9" spans="1:31" x14ac:dyDescent="0.2">
      <c r="A9" s="372" t="s">
        <v>14</v>
      </c>
      <c r="B9" s="373"/>
      <c r="C9" s="102">
        <v>3.5</v>
      </c>
      <c r="D9" s="103">
        <v>9</v>
      </c>
      <c r="E9" s="45"/>
      <c r="F9" s="375" t="s">
        <v>111</v>
      </c>
      <c r="G9" s="376" t="s">
        <v>39</v>
      </c>
      <c r="H9" s="374" t="s">
        <v>112</v>
      </c>
      <c r="I9" s="312"/>
      <c r="J9" s="375" t="s">
        <v>113</v>
      </c>
      <c r="K9" s="388" t="s">
        <v>10</v>
      </c>
      <c r="L9" s="374" t="s">
        <v>114</v>
      </c>
      <c r="M9" s="191"/>
      <c r="N9" s="375" t="s">
        <v>115</v>
      </c>
      <c r="O9" s="374" t="s">
        <v>116</v>
      </c>
      <c r="P9" s="191"/>
      <c r="Q9" s="375" t="s">
        <v>113</v>
      </c>
      <c r="R9" s="377" t="s">
        <v>10</v>
      </c>
      <c r="S9" s="200"/>
      <c r="T9" s="200"/>
      <c r="V9" s="206"/>
      <c r="W9" s="206"/>
      <c r="X9" s="206"/>
      <c r="Y9" s="206"/>
      <c r="Z9" s="206"/>
      <c r="AA9" s="206"/>
      <c r="AB9" s="206"/>
      <c r="AC9" s="200"/>
    </row>
    <row r="10" spans="1:31" x14ac:dyDescent="0.2">
      <c r="A10" s="372" t="s">
        <v>56</v>
      </c>
      <c r="B10" s="373"/>
      <c r="C10" s="102">
        <v>3.8</v>
      </c>
      <c r="D10" s="103">
        <v>9.5</v>
      </c>
      <c r="E10" s="45"/>
      <c r="F10" s="375"/>
      <c r="G10" s="376"/>
      <c r="H10" s="374"/>
      <c r="I10" s="312"/>
      <c r="J10" s="375"/>
      <c r="K10" s="388"/>
      <c r="L10" s="374"/>
      <c r="M10" s="191"/>
      <c r="N10" s="375"/>
      <c r="O10" s="374"/>
      <c r="P10" s="191"/>
      <c r="Q10" s="375"/>
      <c r="R10" s="377"/>
      <c r="S10" s="200"/>
      <c r="T10" s="200"/>
      <c r="Y10" s="206"/>
      <c r="Z10" s="206"/>
      <c r="AA10" s="206"/>
      <c r="AB10" s="206"/>
      <c r="AC10" s="200"/>
    </row>
    <row r="11" spans="1:31" x14ac:dyDescent="0.2">
      <c r="A11" s="368" t="s">
        <v>96</v>
      </c>
      <c r="B11" s="373"/>
      <c r="C11" s="104">
        <v>185</v>
      </c>
      <c r="D11" s="105">
        <v>60</v>
      </c>
      <c r="E11" s="45"/>
      <c r="F11" s="106">
        <f>C11</f>
        <v>185</v>
      </c>
      <c r="G11" s="107">
        <f>C11</f>
        <v>185</v>
      </c>
      <c r="H11" s="108">
        <f>D11</f>
        <v>60</v>
      </c>
      <c r="I11" s="109"/>
      <c r="J11" s="106">
        <f>$C11</f>
        <v>185</v>
      </c>
      <c r="K11" s="107">
        <f>$C11</f>
        <v>185</v>
      </c>
      <c r="L11" s="108">
        <f>D11</f>
        <v>60</v>
      </c>
      <c r="M11" s="45"/>
      <c r="N11" s="106">
        <f>D11</f>
        <v>60</v>
      </c>
      <c r="O11" s="108">
        <f>D11</f>
        <v>60</v>
      </c>
      <c r="P11" s="45"/>
      <c r="Q11" s="106">
        <f>$D11</f>
        <v>60</v>
      </c>
      <c r="R11" s="108">
        <f>$D11</f>
        <v>60</v>
      </c>
      <c r="S11" s="200"/>
      <c r="T11" s="200"/>
      <c r="Y11" s="206"/>
      <c r="Z11" s="206"/>
      <c r="AA11" s="206"/>
      <c r="AB11" s="206"/>
      <c r="AC11" s="200"/>
    </row>
    <row r="12" spans="1:31" x14ac:dyDescent="0.2">
      <c r="A12" s="368" t="s">
        <v>97</v>
      </c>
      <c r="B12" s="373"/>
      <c r="C12" s="104">
        <v>145</v>
      </c>
      <c r="D12" s="105">
        <v>45</v>
      </c>
      <c r="E12" s="45"/>
      <c r="F12" s="106">
        <f>C12</f>
        <v>145</v>
      </c>
      <c r="G12" s="107">
        <f>C12</f>
        <v>145</v>
      </c>
      <c r="H12" s="108"/>
      <c r="I12" s="109"/>
      <c r="J12" s="106"/>
      <c r="K12" s="107"/>
      <c r="L12" s="108"/>
      <c r="M12" s="45"/>
      <c r="N12" s="106">
        <f>D12</f>
        <v>45</v>
      </c>
      <c r="O12" s="108">
        <f>D12</f>
        <v>45</v>
      </c>
      <c r="P12" s="45"/>
      <c r="Q12" s="106"/>
      <c r="R12" s="108"/>
      <c r="S12" s="200"/>
      <c r="T12" s="200"/>
      <c r="Y12" s="206"/>
      <c r="Z12" s="206"/>
      <c r="AA12" s="206"/>
      <c r="AB12" s="206"/>
      <c r="AC12" s="200"/>
    </row>
    <row r="13" spans="1:31" x14ac:dyDescent="0.2">
      <c r="A13" s="368" t="s">
        <v>94</v>
      </c>
      <c r="B13" s="369"/>
      <c r="C13" s="246"/>
      <c r="D13" s="110" t="s">
        <v>29</v>
      </c>
      <c r="F13" s="106"/>
      <c r="G13" s="107"/>
      <c r="H13" s="108"/>
      <c r="I13" s="109"/>
      <c r="J13" s="106"/>
      <c r="K13" s="107"/>
      <c r="L13" s="108"/>
      <c r="M13" s="45"/>
      <c r="N13" s="106"/>
      <c r="O13" s="108"/>
      <c r="P13" s="45"/>
      <c r="Q13" s="106"/>
      <c r="R13" s="108"/>
      <c r="S13" s="200"/>
      <c r="T13" s="200"/>
      <c r="Y13" s="206"/>
      <c r="Z13" s="206"/>
      <c r="AA13" s="206"/>
      <c r="AB13" s="206"/>
      <c r="AC13" s="200"/>
    </row>
    <row r="14" spans="1:31" x14ac:dyDescent="0.2">
      <c r="A14" s="368" t="s">
        <v>102</v>
      </c>
      <c r="B14" s="373"/>
      <c r="C14" s="244">
        <v>43575</v>
      </c>
      <c r="D14" s="276">
        <v>43641</v>
      </c>
      <c r="E14" s="45"/>
      <c r="F14" s="106"/>
      <c r="G14" s="111">
        <f t="shared" ref="G14:H16" si="0">C14</f>
        <v>43575</v>
      </c>
      <c r="H14" s="112">
        <f t="shared" si="0"/>
        <v>43641</v>
      </c>
      <c r="I14" s="113"/>
      <c r="J14" s="114">
        <f>$C14</f>
        <v>43575</v>
      </c>
      <c r="K14" s="111">
        <f>$C14</f>
        <v>43575</v>
      </c>
      <c r="L14" s="112">
        <f>$D14</f>
        <v>43641</v>
      </c>
      <c r="M14" s="45"/>
      <c r="N14" s="114"/>
      <c r="O14" s="112">
        <f>D14</f>
        <v>43641</v>
      </c>
      <c r="P14" s="45"/>
      <c r="Q14" s="114">
        <f>D14</f>
        <v>43641</v>
      </c>
      <c r="R14" s="112">
        <f>$D14</f>
        <v>43641</v>
      </c>
      <c r="S14" s="200"/>
      <c r="T14" s="200"/>
      <c r="V14" s="299">
        <f>MATCH(D13,V4:V6,0)</f>
        <v>3</v>
      </c>
      <c r="W14" s="300"/>
      <c r="Y14" s="206"/>
      <c r="Z14" s="206"/>
      <c r="AA14" s="206"/>
      <c r="AB14" s="206"/>
      <c r="AC14" s="200"/>
    </row>
    <row r="15" spans="1:31" x14ac:dyDescent="0.2">
      <c r="A15" s="368" t="s">
        <v>95</v>
      </c>
      <c r="B15" s="369"/>
      <c r="C15" s="115">
        <f ca="1">MAX(MIN((Data!C33+Data!D33*(C14-Data!C20)+Data!E33*(C14-Data!C20)^2)/100,1),0)</f>
        <v>1</v>
      </c>
      <c r="D15" s="116">
        <f ca="1">MIN(1,MAX(CHOOSE(V14,Data!C27,Data!C28,Data!C29)+CHOOSE(V14,Data!D27,Data!D28,Data!D29)*(D14-Data!D20)-CHOOSE(V14,Data!E27,Data!E28,Data!E29)*((D14-Data!D20)^2),0))</f>
        <v>0.90449999999999997</v>
      </c>
      <c r="E15" s="45"/>
      <c r="F15" s="106"/>
      <c r="G15" s="117">
        <f t="shared" ca="1" si="0"/>
        <v>1</v>
      </c>
      <c r="H15" s="118">
        <f t="shared" ca="1" si="0"/>
        <v>0.90449999999999997</v>
      </c>
      <c r="I15" s="119"/>
      <c r="J15" s="367" t="str">
        <f ca="1">IF(J14&gt;Data!C13," ","too soon for prevented planting")</f>
        <v>too soon for prevented planting</v>
      </c>
      <c r="K15" s="117">
        <f ca="1">C15</f>
        <v>1</v>
      </c>
      <c r="L15" s="118">
        <f ca="1">D15</f>
        <v>0.90449999999999997</v>
      </c>
      <c r="M15" s="45"/>
      <c r="N15" s="106"/>
      <c r="O15" s="118">
        <f ca="1">D15</f>
        <v>0.90449999999999997</v>
      </c>
      <c r="P15" s="45"/>
      <c r="Q15" s="367" t="str">
        <f ca="1">IF(Q14&gt;Data!D13," ","too soon for prevented planting")</f>
        <v xml:space="preserve"> </v>
      </c>
      <c r="R15" s="118">
        <f ca="1">D15</f>
        <v>0.90449999999999997</v>
      </c>
      <c r="S15" s="200"/>
      <c r="T15" s="200"/>
      <c r="V15" s="299">
        <f>MATCH(C18,W4:W8,0)</f>
        <v>4</v>
      </c>
      <c r="W15" s="301">
        <f>MATCH(D18,W4:W8,0)</f>
        <v>4</v>
      </c>
      <c r="Y15" s="206"/>
      <c r="Z15" s="206"/>
      <c r="AA15" s="206"/>
      <c r="AB15" s="206"/>
      <c r="AC15" s="200"/>
    </row>
    <row r="16" spans="1:31" x14ac:dyDescent="0.2">
      <c r="A16" s="368" t="s">
        <v>99</v>
      </c>
      <c r="B16" s="369"/>
      <c r="C16" s="120">
        <f ca="1">C15*C11</f>
        <v>185</v>
      </c>
      <c r="D16" s="121">
        <f ca="1">D15*D11</f>
        <v>54.269999999999996</v>
      </c>
      <c r="E16" s="45"/>
      <c r="F16" s="106"/>
      <c r="G16" s="122">
        <f t="shared" ca="1" si="0"/>
        <v>185</v>
      </c>
      <c r="H16" s="123">
        <f t="shared" ca="1" si="0"/>
        <v>54.269999999999996</v>
      </c>
      <c r="I16" s="120"/>
      <c r="J16" s="367"/>
      <c r="K16" s="122">
        <f ca="1">C16</f>
        <v>185</v>
      </c>
      <c r="L16" s="123">
        <f ca="1">D16</f>
        <v>54.269999999999996</v>
      </c>
      <c r="M16" s="45"/>
      <c r="N16" s="106"/>
      <c r="O16" s="123">
        <f ca="1">D16</f>
        <v>54.269999999999996</v>
      </c>
      <c r="P16" s="45"/>
      <c r="Q16" s="367"/>
      <c r="R16" s="123">
        <f ca="1">D16</f>
        <v>54.269999999999996</v>
      </c>
      <c r="S16" s="200"/>
      <c r="T16" s="200"/>
      <c r="V16" s="206"/>
      <c r="W16" s="206"/>
      <c r="Y16" s="206"/>
      <c r="Z16" s="206"/>
      <c r="AA16" s="206"/>
      <c r="AB16" s="206"/>
      <c r="AC16" s="200"/>
    </row>
    <row r="17" spans="1:28" x14ac:dyDescent="0.2">
      <c r="A17" s="289" t="s">
        <v>21</v>
      </c>
      <c r="B17" s="290"/>
      <c r="C17" s="124"/>
      <c r="D17" s="125"/>
      <c r="E17" s="45"/>
      <c r="F17" s="106"/>
      <c r="G17" s="107"/>
      <c r="H17" s="108"/>
      <c r="I17" s="109"/>
      <c r="J17" s="367"/>
      <c r="K17" s="107"/>
      <c r="L17" s="108"/>
      <c r="M17" s="45"/>
      <c r="N17" s="106"/>
      <c r="O17" s="108"/>
      <c r="P17" s="45"/>
      <c r="Q17" s="367"/>
      <c r="R17" s="108"/>
      <c r="V17" s="206"/>
      <c r="W17" s="206"/>
      <c r="Y17" s="206"/>
      <c r="Z17" s="206"/>
      <c r="AA17" s="206"/>
      <c r="AB17" s="206"/>
    </row>
    <row r="18" spans="1:28" x14ac:dyDescent="0.2">
      <c r="A18" s="372" t="s">
        <v>57</v>
      </c>
      <c r="B18" s="369"/>
      <c r="C18" s="126" t="s">
        <v>54</v>
      </c>
      <c r="D18" s="127" t="s">
        <v>54</v>
      </c>
      <c r="E18" s="45"/>
      <c r="F18" s="76" t="str">
        <f>CHOOSE($V15,Data!$B3,Data!$B4,Data!$B5,Data!$B6,Data!$B7,Data!$B8)</f>
        <v>Revenue Prot.</v>
      </c>
      <c r="G18" s="77" t="str">
        <f>CHOOSE($V15,Data!$B3,Data!$B4,Data!$B5,Data!$B6,Data!$B7,Data!$B8)</f>
        <v>Revenue Prot.</v>
      </c>
      <c r="H18" s="78" t="str">
        <f>CHOOSE($W15,Data!$B3,Data!$B4,Data!$B5,Data!$B6,Data!$B7,Data!$B8)</f>
        <v>Revenue Prot.</v>
      </c>
      <c r="I18" s="79"/>
      <c r="J18" s="76" t="str">
        <f>CHOOSE($V15,Data!$B3,Data!$B4,Data!$B5,Data!$B6,Data!$B7,Data!$B8)</f>
        <v>Revenue Prot.</v>
      </c>
      <c r="K18" s="77" t="str">
        <f>CHOOSE($V15,Data!$B3,Data!$B4,Data!$B5,Data!$B6,Data!$B7,Data!$B8)</f>
        <v>Revenue Prot.</v>
      </c>
      <c r="L18" s="78" t="str">
        <f>CHOOSE($W15,Data!$B3,Data!$B4,Data!$B5,Data!$B6,Data!$B7,Data!$B8)</f>
        <v>Revenue Prot.</v>
      </c>
      <c r="M18" s="80"/>
      <c r="N18" s="76" t="str">
        <f>CHOOSE($W15,Data!$B3,Data!$B4,Data!$B5,Data!$B6,Data!$B7,Data!$B8)</f>
        <v>Revenue Prot.</v>
      </c>
      <c r="O18" s="78" t="str">
        <f>CHOOSE($W15,Data!$B3,Data!$B4,Data!$B5,Data!$B6,Data!$B7,Data!$B8)</f>
        <v>Revenue Prot.</v>
      </c>
      <c r="P18" s="81"/>
      <c r="Q18" s="76" t="str">
        <f>CHOOSE($W15,Data!$B3,Data!$B4,Data!$B5,Data!$B6,Data!$B7,Data!$B8)</f>
        <v>Revenue Prot.</v>
      </c>
      <c r="R18" s="78" t="str">
        <f>CHOOSE($W15,Data!$B3,Data!$B4,Data!$B5,Data!$B6,Data!$B7,Data!$B8)</f>
        <v>Revenue Prot.</v>
      </c>
      <c r="V18" s="206"/>
      <c r="W18" s="206"/>
      <c r="Y18" s="206"/>
      <c r="Z18" s="206"/>
      <c r="AA18" s="206"/>
      <c r="AB18" s="206"/>
    </row>
    <row r="19" spans="1:28" x14ac:dyDescent="0.2">
      <c r="A19" s="368" t="s">
        <v>98</v>
      </c>
      <c r="B19" s="373"/>
      <c r="C19" s="104">
        <v>180</v>
      </c>
      <c r="D19" s="105">
        <v>55</v>
      </c>
      <c r="E19" s="45"/>
      <c r="F19" s="106">
        <f>C19</f>
        <v>180</v>
      </c>
      <c r="G19" s="107">
        <f>C19</f>
        <v>180</v>
      </c>
      <c r="H19" s="108">
        <f>D19</f>
        <v>55</v>
      </c>
      <c r="I19" s="109"/>
      <c r="J19" s="106">
        <f>$C19</f>
        <v>180</v>
      </c>
      <c r="K19" s="107">
        <f>$C19</f>
        <v>180</v>
      </c>
      <c r="L19" s="108">
        <f>D19</f>
        <v>55</v>
      </c>
      <c r="M19" s="45"/>
      <c r="N19" s="106">
        <f>D19</f>
        <v>55</v>
      </c>
      <c r="O19" s="108">
        <f>D19</f>
        <v>55</v>
      </c>
      <c r="P19" s="45"/>
      <c r="Q19" s="106">
        <f>$D19</f>
        <v>55</v>
      </c>
      <c r="R19" s="108">
        <f>$D19</f>
        <v>55</v>
      </c>
      <c r="Y19" s="206"/>
      <c r="Z19" s="206"/>
      <c r="AA19" s="206"/>
      <c r="AB19" s="206"/>
    </row>
    <row r="20" spans="1:28" x14ac:dyDescent="0.2">
      <c r="A20" s="282" t="str">
        <f>IF(V15=3,"Indemnity price % elected, for Yield Protection only",IF(W15=3,"Indemnity price % elected, for Yield Protection only"," "))</f>
        <v xml:space="preserve"> </v>
      </c>
      <c r="B20" s="283"/>
      <c r="C20" s="270">
        <v>1</v>
      </c>
      <c r="D20" s="271">
        <v>1</v>
      </c>
      <c r="E20" s="45"/>
      <c r="F20" s="106"/>
      <c r="G20" s="107"/>
      <c r="H20" s="108"/>
      <c r="I20" s="109"/>
      <c r="J20" s="106"/>
      <c r="K20" s="107"/>
      <c r="L20" s="108"/>
      <c r="M20" s="45"/>
      <c r="N20" s="106"/>
      <c r="O20" s="108"/>
      <c r="P20" s="45"/>
      <c r="Q20" s="106"/>
      <c r="R20" s="108"/>
      <c r="Y20" s="206"/>
      <c r="Z20" s="206"/>
      <c r="AA20" s="206"/>
      <c r="AB20" s="206"/>
    </row>
    <row r="21" spans="1:28" x14ac:dyDescent="0.2">
      <c r="A21" s="372" t="s">
        <v>20</v>
      </c>
      <c r="B21" s="369"/>
      <c r="C21" s="279">
        <f>CHOOSE(V15,Data!C3,Data!C4,Data!C5*C20,MAX(Data!C6,MIN(C10,2*Data!C6)),Data!C6)</f>
        <v>4</v>
      </c>
      <c r="D21" s="280">
        <f>CHOOSE(W15,Data!D3,Data!D4,Data!D5*D20,MAX(Data!D6,MIN(D10,2*Data!D6)),Data!D6)</f>
        <v>9.5399999999999991</v>
      </c>
      <c r="E21" s="45"/>
      <c r="F21" s="130">
        <f>C21</f>
        <v>4</v>
      </c>
      <c r="G21" s="131">
        <f>C21</f>
        <v>4</v>
      </c>
      <c r="H21" s="132">
        <f>D21</f>
        <v>9.5399999999999991</v>
      </c>
      <c r="I21" s="129"/>
      <c r="J21" s="130">
        <f>$C21</f>
        <v>4</v>
      </c>
      <c r="K21" s="133">
        <f>$C21</f>
        <v>4</v>
      </c>
      <c r="L21" s="132">
        <f>D21</f>
        <v>9.5399999999999991</v>
      </c>
      <c r="M21" s="45"/>
      <c r="N21" s="130">
        <f>D21</f>
        <v>9.5399999999999991</v>
      </c>
      <c r="O21" s="134">
        <f>D21</f>
        <v>9.5399999999999991</v>
      </c>
      <c r="P21" s="45"/>
      <c r="Q21" s="130">
        <f>$D21</f>
        <v>9.5399999999999991</v>
      </c>
      <c r="R21" s="134">
        <f>$D21</f>
        <v>9.5399999999999991</v>
      </c>
      <c r="Y21" s="206"/>
      <c r="Z21" s="206"/>
      <c r="AA21" s="206"/>
      <c r="AB21" s="206"/>
    </row>
    <row r="22" spans="1:28" x14ac:dyDescent="0.2">
      <c r="A22" s="372" t="s">
        <v>59</v>
      </c>
      <c r="B22" s="373"/>
      <c r="C22" s="128">
        <v>0.85</v>
      </c>
      <c r="D22" s="135">
        <v>0.85</v>
      </c>
      <c r="E22" s="45"/>
      <c r="F22" s="106"/>
      <c r="G22" s="107"/>
      <c r="H22" s="108"/>
      <c r="I22" s="136"/>
      <c r="J22" s="106"/>
      <c r="K22" s="107"/>
      <c r="L22" s="108"/>
      <c r="M22" s="45"/>
      <c r="N22" s="106"/>
      <c r="O22" s="108"/>
      <c r="P22" s="45"/>
      <c r="Q22" s="106"/>
      <c r="R22" s="108"/>
      <c r="Y22" s="206"/>
      <c r="Z22" s="206"/>
      <c r="AA22" s="206"/>
      <c r="AB22" s="206"/>
    </row>
    <row r="23" spans="1:28" x14ac:dyDescent="0.2">
      <c r="A23" s="372" t="s">
        <v>15</v>
      </c>
      <c r="B23" s="369"/>
      <c r="C23" s="115"/>
      <c r="D23" s="116"/>
      <c r="E23" s="45"/>
      <c r="F23" s="137">
        <f>C22</f>
        <v>0.85</v>
      </c>
      <c r="G23" s="138">
        <f>C22</f>
        <v>0.85</v>
      </c>
      <c r="H23" s="139">
        <f ca="1">$D22*IF(H14&lt;(Data!$D13+25),IF(H14&gt;Data!$D13,1-(H14-Data!$D13)/100,1),0.6)</f>
        <v>0.76500000000000001</v>
      </c>
      <c r="I23" s="136"/>
      <c r="J23" s="137">
        <f>C22*0.55</f>
        <v>0.46750000000000003</v>
      </c>
      <c r="K23" s="138">
        <f ca="1">$C22*IF(K14&lt;(Data!$C13+25),IF(K14&gt;Data!$C13,1-(K14-Data!$C13)/100,1),0.55)</f>
        <v>0.85</v>
      </c>
      <c r="L23" s="139">
        <f ca="1">$D22*IF(L14&lt;(Data!$D13+25),IF(L14&gt;Data!$D13,1-(L14-Data!$D13)/100,1),0.6)</f>
        <v>0.76500000000000001</v>
      </c>
      <c r="M23" s="45"/>
      <c r="N23" s="137">
        <f>D22</f>
        <v>0.85</v>
      </c>
      <c r="O23" s="140">
        <f>D22</f>
        <v>0.85</v>
      </c>
      <c r="P23" s="45"/>
      <c r="Q23" s="137">
        <f>D22*0.6</f>
        <v>0.51</v>
      </c>
      <c r="R23" s="140">
        <f ca="1">$D22*IF(R14&lt;(Data!$D13+25),IF(R14&gt;Data!$D13,1-(R14-Data!$D13)/100,1),0.6)</f>
        <v>0.76500000000000001</v>
      </c>
    </row>
    <row r="24" spans="1:28" x14ac:dyDescent="0.2">
      <c r="A24" s="368" t="s">
        <v>117</v>
      </c>
      <c r="B24" s="373"/>
      <c r="C24" s="102">
        <v>30</v>
      </c>
      <c r="D24" s="103">
        <v>20</v>
      </c>
      <c r="E24" s="45"/>
      <c r="F24" s="305">
        <f>C24</f>
        <v>30</v>
      </c>
      <c r="G24" s="306">
        <f>C24</f>
        <v>30</v>
      </c>
      <c r="H24" s="307">
        <f ca="1">IF(0.65*F44&gt;IF(H35&gt;0,CHOOSE(W15,0,(H19*H23-H16)*H21,(H19*H23-H16)*H21,(H19*H21*H23-H16*D10),(H19*H21*H23-H16*D10)),0),C24,0.35*C24)</f>
        <v>30</v>
      </c>
      <c r="I24" s="136"/>
      <c r="J24" s="305">
        <f>C24</f>
        <v>30</v>
      </c>
      <c r="K24" s="306">
        <f>C24</f>
        <v>30</v>
      </c>
      <c r="L24" s="307">
        <f ca="1">IF(L14&gt;Data!C13+25,C24*0.35,0)</f>
        <v>0</v>
      </c>
      <c r="M24" s="45"/>
      <c r="N24" s="305">
        <f>D24</f>
        <v>20</v>
      </c>
      <c r="O24" s="307">
        <f>D24</f>
        <v>20</v>
      </c>
      <c r="P24" s="45"/>
      <c r="Q24" s="305">
        <f>D24</f>
        <v>20</v>
      </c>
      <c r="R24" s="307">
        <f>D24</f>
        <v>20</v>
      </c>
    </row>
    <row r="25" spans="1:28" ht="12.6" customHeight="1" x14ac:dyDescent="0.2">
      <c r="A25" s="282"/>
      <c r="B25" s="283"/>
      <c r="C25" s="141"/>
      <c r="D25" s="142"/>
      <c r="E25" s="45"/>
      <c r="F25" s="359" t="str">
        <f ca="1">IF($F12&lt;0.9*$F19,IF($C14&lt;Data!$C13+11,"Practical to replant."," ")," ")</f>
        <v>Practical to replant.</v>
      </c>
      <c r="G25" s="361" t="str">
        <f ca="1">IF($G12&lt;0.9*$G19,IF($C14&lt;Data!$C13+11,"Practical to replant."," ")," ")</f>
        <v>Practical to replant.</v>
      </c>
      <c r="H25" s="363" t="str">
        <f ca="1">IF($C12&lt;0.9*$C19,IF($C14&lt;Data!$C13+11,"Practical to replant."," ")," ")</f>
        <v>Practical to replant.</v>
      </c>
      <c r="I25" s="285"/>
      <c r="J25" s="284"/>
      <c r="K25" s="143"/>
      <c r="L25" s="287"/>
      <c r="M25" s="144"/>
      <c r="N25" s="359" t="str">
        <f ca="1">IF($N12&lt;0.9*$N19,IF($D14&lt;Data!$D13+11,"Practical to replant."," ")," ")</f>
        <v>Practical to replant.</v>
      </c>
      <c r="O25" s="363" t="str">
        <f ca="1">IF($O12&lt;0.9*$O19,IF($D14&lt;Data!$D13+11,"Practical to replant."," ")," ")</f>
        <v>Practical to replant.</v>
      </c>
      <c r="P25" s="144"/>
      <c r="Q25" s="284"/>
      <c r="R25" s="287"/>
    </row>
    <row r="26" spans="1:28" ht="12.75" customHeight="1" x14ac:dyDescent="0.2">
      <c r="A26" s="370" t="s">
        <v>40</v>
      </c>
      <c r="B26" s="371"/>
      <c r="C26" s="283"/>
      <c r="D26" s="142"/>
      <c r="E26" s="45"/>
      <c r="F26" s="360"/>
      <c r="G26" s="362"/>
      <c r="H26" s="364"/>
      <c r="I26" s="285"/>
      <c r="J26" s="145"/>
      <c r="K26" s="146"/>
      <c r="L26" s="147"/>
      <c r="M26" s="144"/>
      <c r="N26" s="360"/>
      <c r="O26" s="364"/>
      <c r="P26" s="144"/>
      <c r="Q26" s="145"/>
      <c r="R26" s="147"/>
    </row>
    <row r="27" spans="1:28" ht="12.75" customHeight="1" x14ac:dyDescent="0.2">
      <c r="A27" s="275" t="s">
        <v>25</v>
      </c>
      <c r="B27" s="290"/>
      <c r="C27" s="148"/>
      <c r="D27" s="247"/>
      <c r="E27" s="45"/>
      <c r="F27" s="343" t="s">
        <v>6</v>
      </c>
      <c r="G27" s="365"/>
      <c r="H27" s="344"/>
      <c r="I27" s="149"/>
      <c r="J27" s="349" t="s">
        <v>6</v>
      </c>
      <c r="K27" s="366"/>
      <c r="L27" s="358"/>
      <c r="M27" s="144"/>
      <c r="N27" s="343" t="s">
        <v>6</v>
      </c>
      <c r="O27" s="344"/>
      <c r="P27" s="144"/>
      <c r="Q27" s="343" t="s">
        <v>6</v>
      </c>
      <c r="R27" s="344"/>
    </row>
    <row r="28" spans="1:28" x14ac:dyDescent="0.2">
      <c r="A28" s="273" t="s">
        <v>17</v>
      </c>
      <c r="B28" s="272"/>
      <c r="C28" s="272"/>
      <c r="D28" s="150"/>
      <c r="E28" s="151"/>
      <c r="F28" s="152"/>
      <c r="G28" s="102"/>
      <c r="H28" s="103">
        <v>50</v>
      </c>
      <c r="I28" s="141"/>
      <c r="J28" s="153"/>
      <c r="K28" s="102"/>
      <c r="L28" s="103">
        <v>50</v>
      </c>
      <c r="M28" s="45"/>
      <c r="N28" s="154"/>
      <c r="O28" s="103">
        <v>25</v>
      </c>
      <c r="P28" s="45"/>
      <c r="Q28" s="153"/>
      <c r="R28" s="103"/>
    </row>
    <row r="29" spans="1:28" x14ac:dyDescent="0.2">
      <c r="A29" s="273" t="s">
        <v>2</v>
      </c>
      <c r="B29" s="272"/>
      <c r="C29" s="272"/>
      <c r="D29" s="150"/>
      <c r="E29" s="45"/>
      <c r="F29" s="155"/>
      <c r="G29" s="156"/>
      <c r="H29" s="157"/>
      <c r="I29" s="158"/>
      <c r="J29" s="159"/>
      <c r="K29" s="156"/>
      <c r="L29" s="157"/>
      <c r="M29" s="45"/>
      <c r="N29" s="160"/>
      <c r="O29" s="157"/>
      <c r="P29" s="45"/>
      <c r="Q29" s="159"/>
      <c r="R29" s="157"/>
    </row>
    <row r="30" spans="1:28" x14ac:dyDescent="0.2">
      <c r="A30" s="273" t="s">
        <v>19</v>
      </c>
      <c r="B30" s="272"/>
      <c r="C30" s="272"/>
      <c r="D30" s="150"/>
      <c r="E30" s="45"/>
      <c r="F30" s="159"/>
      <c r="G30" s="156">
        <v>25</v>
      </c>
      <c r="H30" s="157">
        <v>16</v>
      </c>
      <c r="I30" s="158"/>
      <c r="J30" s="159"/>
      <c r="K30" s="156">
        <v>25</v>
      </c>
      <c r="L30" s="157">
        <v>16</v>
      </c>
      <c r="M30" s="45"/>
      <c r="N30" s="159"/>
      <c r="O30" s="157">
        <v>13</v>
      </c>
      <c r="P30" s="45"/>
      <c r="Q30" s="159"/>
      <c r="R30" s="157">
        <v>16</v>
      </c>
    </row>
    <row r="31" spans="1:28" x14ac:dyDescent="0.2">
      <c r="A31" s="273" t="s">
        <v>27</v>
      </c>
      <c r="B31" s="272"/>
      <c r="C31" s="272"/>
      <c r="D31" s="150"/>
      <c r="E31" s="45"/>
      <c r="F31" s="159"/>
      <c r="G31" s="156"/>
      <c r="H31" s="157"/>
      <c r="I31" s="158"/>
      <c r="J31" s="159"/>
      <c r="K31" s="156"/>
      <c r="L31" s="157"/>
      <c r="M31" s="45"/>
      <c r="N31" s="159"/>
      <c r="O31" s="157"/>
      <c r="P31" s="45"/>
      <c r="Q31" s="159"/>
      <c r="R31" s="157"/>
    </row>
    <row r="32" spans="1:28" x14ac:dyDescent="0.2">
      <c r="A32" s="273" t="s">
        <v>3</v>
      </c>
      <c r="B32" s="272"/>
      <c r="C32" s="272"/>
      <c r="D32" s="150"/>
      <c r="E32" s="45"/>
      <c r="F32" s="159"/>
      <c r="G32" s="156">
        <v>10</v>
      </c>
      <c r="H32" s="157">
        <v>5</v>
      </c>
      <c r="I32" s="158"/>
      <c r="J32" s="159"/>
      <c r="K32" s="156">
        <v>10</v>
      </c>
      <c r="L32" s="157">
        <v>5</v>
      </c>
      <c r="M32" s="45"/>
      <c r="N32" s="159"/>
      <c r="O32" s="157">
        <v>3</v>
      </c>
      <c r="P32" s="45"/>
      <c r="Q32" s="159">
        <v>2</v>
      </c>
      <c r="R32" s="157">
        <v>5</v>
      </c>
    </row>
    <row r="33" spans="1:28" x14ac:dyDescent="0.2">
      <c r="A33" s="273" t="s">
        <v>4</v>
      </c>
      <c r="B33" s="272"/>
      <c r="C33" s="272"/>
      <c r="D33" s="142"/>
      <c r="E33" s="45"/>
      <c r="F33" s="159"/>
      <c r="G33" s="156">
        <v>0</v>
      </c>
      <c r="H33" s="157">
        <v>3</v>
      </c>
      <c r="I33" s="158"/>
      <c r="J33" s="159"/>
      <c r="K33" s="156">
        <v>0</v>
      </c>
      <c r="L33" s="157">
        <v>3</v>
      </c>
      <c r="M33" s="45"/>
      <c r="N33" s="159"/>
      <c r="O33" s="157">
        <v>2</v>
      </c>
      <c r="P33" s="45"/>
      <c r="Q33" s="159">
        <v>2</v>
      </c>
      <c r="R33" s="157">
        <v>3</v>
      </c>
    </row>
    <row r="34" spans="1:28" x14ac:dyDescent="0.2">
      <c r="A34" s="273" t="s">
        <v>16</v>
      </c>
      <c r="B34" s="272"/>
      <c r="C34" s="272"/>
      <c r="D34" s="161"/>
      <c r="E34" s="45"/>
      <c r="F34" s="159"/>
      <c r="G34" s="156"/>
      <c r="H34" s="157"/>
      <c r="I34" s="158"/>
      <c r="J34" s="159"/>
      <c r="K34" s="156"/>
      <c r="L34" s="157"/>
      <c r="M34" s="45"/>
      <c r="N34" s="159"/>
      <c r="O34" s="157"/>
      <c r="P34" s="45"/>
      <c r="Q34" s="159"/>
      <c r="R34" s="157"/>
    </row>
    <row r="35" spans="1:28" x14ac:dyDescent="0.2">
      <c r="A35" s="273" t="s">
        <v>18</v>
      </c>
      <c r="B35" s="272"/>
      <c r="C35" s="272"/>
      <c r="D35" s="142"/>
      <c r="E35" s="45"/>
      <c r="F35" s="130"/>
      <c r="G35" s="133"/>
      <c r="H35" s="339">
        <f>D24</f>
        <v>20</v>
      </c>
      <c r="I35" s="129"/>
      <c r="J35" s="162"/>
      <c r="K35" s="163"/>
      <c r="L35" s="338">
        <f>D24</f>
        <v>20</v>
      </c>
      <c r="M35" s="45"/>
      <c r="N35" s="130"/>
      <c r="O35" s="134"/>
      <c r="P35" s="45"/>
      <c r="Q35" s="162"/>
      <c r="R35" s="164"/>
    </row>
    <row r="36" spans="1:28" x14ac:dyDescent="0.2">
      <c r="A36" s="275" t="s">
        <v>26</v>
      </c>
      <c r="B36" s="290"/>
      <c r="C36" s="283"/>
      <c r="D36" s="150"/>
      <c r="E36" s="45"/>
      <c r="F36" s="106"/>
      <c r="G36" s="107"/>
      <c r="H36" s="340"/>
      <c r="I36" s="109"/>
      <c r="J36" s="106"/>
      <c r="K36" s="107"/>
      <c r="L36" s="180"/>
      <c r="M36" s="45"/>
      <c r="N36" s="106"/>
      <c r="O36" s="108"/>
      <c r="P36" s="45"/>
      <c r="Q36" s="106"/>
      <c r="R36" s="108"/>
    </row>
    <row r="37" spans="1:28" x14ac:dyDescent="0.2">
      <c r="A37" s="273" t="s">
        <v>3</v>
      </c>
      <c r="B37" s="283"/>
      <c r="C37" s="283"/>
      <c r="D37" s="150"/>
      <c r="E37" s="45"/>
      <c r="F37" s="153">
        <v>11</v>
      </c>
      <c r="G37" s="102">
        <v>7</v>
      </c>
      <c r="H37" s="341">
        <v>6</v>
      </c>
      <c r="I37" s="141"/>
      <c r="J37" s="130"/>
      <c r="K37" s="102">
        <v>7</v>
      </c>
      <c r="L37" s="157"/>
      <c r="M37" s="45"/>
      <c r="N37" s="159">
        <v>6</v>
      </c>
      <c r="O37" s="157">
        <v>6</v>
      </c>
      <c r="P37" s="151"/>
      <c r="Q37" s="130"/>
      <c r="R37" s="157">
        <v>6</v>
      </c>
    </row>
    <row r="38" spans="1:28" x14ac:dyDescent="0.2">
      <c r="A38" s="273" t="s">
        <v>16</v>
      </c>
      <c r="B38" s="283"/>
      <c r="C38" s="148"/>
      <c r="D38" s="247"/>
      <c r="E38" s="45"/>
      <c r="F38" s="159"/>
      <c r="G38" s="156"/>
      <c r="H38" s="341"/>
      <c r="I38" s="158"/>
      <c r="J38" s="130"/>
      <c r="K38" s="102"/>
      <c r="L38" s="157"/>
      <c r="M38" s="45"/>
      <c r="N38" s="159"/>
      <c r="O38" s="157"/>
      <c r="P38" s="151"/>
      <c r="Q38" s="130"/>
      <c r="R38" s="157"/>
    </row>
    <row r="39" spans="1:28" x14ac:dyDescent="0.2">
      <c r="A39" s="273" t="s">
        <v>4</v>
      </c>
      <c r="B39" s="166" t="s">
        <v>52</v>
      </c>
      <c r="C39" s="61" t="s">
        <v>51</v>
      </c>
      <c r="D39" s="167" t="s">
        <v>1</v>
      </c>
      <c r="E39" s="45"/>
      <c r="F39" s="159">
        <v>15</v>
      </c>
      <c r="G39" s="156">
        <v>0</v>
      </c>
      <c r="H39" s="341">
        <v>10</v>
      </c>
      <c r="I39" s="158"/>
      <c r="J39" s="130"/>
      <c r="K39" s="156">
        <v>0</v>
      </c>
      <c r="L39" s="157"/>
      <c r="M39" s="45"/>
      <c r="N39" s="159">
        <v>10</v>
      </c>
      <c r="O39" s="157">
        <v>10</v>
      </c>
      <c r="P39" s="151"/>
      <c r="Q39" s="130"/>
      <c r="R39" s="157">
        <v>10</v>
      </c>
    </row>
    <row r="40" spans="1:28" s="168" customFormat="1" ht="15" x14ac:dyDescent="0.2">
      <c r="A40" s="274" t="s">
        <v>100</v>
      </c>
      <c r="B40" s="169">
        <v>0.25</v>
      </c>
      <c r="C40" s="169">
        <v>0.3</v>
      </c>
      <c r="D40" s="170">
        <v>0.05</v>
      </c>
      <c r="E40" s="171"/>
      <c r="F40" s="46">
        <f>F12*$B40</f>
        <v>36.25</v>
      </c>
      <c r="G40" s="47">
        <f ca="1">G16*$C40</f>
        <v>55.5</v>
      </c>
      <c r="H40" s="48">
        <f ca="1">H16*$D40</f>
        <v>2.7134999999999998</v>
      </c>
      <c r="I40" s="50"/>
      <c r="J40" s="51"/>
      <c r="K40" s="47">
        <f ca="1">K16*$C40</f>
        <v>55.5</v>
      </c>
      <c r="L40" s="48">
        <f ca="1">L16*$D40</f>
        <v>2.7134999999999998</v>
      </c>
      <c r="M40" s="49"/>
      <c r="N40" s="46">
        <f>N12*$D40</f>
        <v>2.25</v>
      </c>
      <c r="O40" s="48">
        <f ca="1">O16*$D40</f>
        <v>2.7134999999999998</v>
      </c>
      <c r="P40" s="49"/>
      <c r="Q40" s="51"/>
      <c r="R40" s="48">
        <f ca="1">R16*$D40</f>
        <v>2.7134999999999998</v>
      </c>
      <c r="U40" s="202"/>
      <c r="V40" s="202"/>
      <c r="W40" s="202"/>
      <c r="X40" s="202"/>
      <c r="Y40" s="202"/>
      <c r="Z40" s="202"/>
      <c r="AA40" s="202"/>
      <c r="AB40" s="202"/>
    </row>
    <row r="41" spans="1:28" x14ac:dyDescent="0.2">
      <c r="A41" s="172" t="s">
        <v>23</v>
      </c>
      <c r="B41" s="173"/>
      <c r="C41" s="109"/>
      <c r="D41" s="161"/>
      <c r="E41" s="45"/>
      <c r="F41" s="174">
        <f>SUM(F28:F40)</f>
        <v>62.25</v>
      </c>
      <c r="G41" s="175">
        <f ca="1">SUM(G28:G40)</f>
        <v>97.5</v>
      </c>
      <c r="H41" s="176">
        <f ca="1">SUM(H28:H40)</f>
        <v>112.7135</v>
      </c>
      <c r="I41" s="177"/>
      <c r="J41" s="174">
        <f>SUM(J28:J40)</f>
        <v>0</v>
      </c>
      <c r="K41" s="175">
        <f ca="1">SUM(K28:K40)</f>
        <v>97.5</v>
      </c>
      <c r="L41" s="176">
        <f ca="1">SUM(L28:L40)</f>
        <v>96.713499999999996</v>
      </c>
      <c r="M41" s="45"/>
      <c r="N41" s="174">
        <f>SUM(N28:N40)</f>
        <v>18.25</v>
      </c>
      <c r="O41" s="176">
        <f ca="1">SUM(O28:O40)</f>
        <v>61.713499999999996</v>
      </c>
      <c r="P41" s="45"/>
      <c r="Q41" s="174">
        <f>SUM(Q28:Q40)</f>
        <v>4</v>
      </c>
      <c r="R41" s="176">
        <f ca="1">SUM(R28:R40)</f>
        <v>42.713499999999996</v>
      </c>
    </row>
    <row r="42" spans="1:28" x14ac:dyDescent="0.2">
      <c r="A42" s="165"/>
      <c r="B42" s="109"/>
      <c r="C42" s="109"/>
      <c r="D42" s="161"/>
      <c r="E42" s="45"/>
      <c r="F42" s="106"/>
      <c r="G42" s="107"/>
      <c r="H42" s="108"/>
      <c r="I42" s="178"/>
      <c r="J42" s="155"/>
      <c r="K42" s="179"/>
      <c r="L42" s="108"/>
      <c r="M42" s="45"/>
      <c r="N42" s="155"/>
      <c r="O42" s="180"/>
      <c r="P42" s="45"/>
      <c r="Q42" s="155"/>
      <c r="R42" s="180"/>
    </row>
    <row r="43" spans="1:28" x14ac:dyDescent="0.2">
      <c r="A43" s="165" t="s">
        <v>22</v>
      </c>
      <c r="B43" s="109"/>
      <c r="C43" s="109"/>
      <c r="D43" s="161"/>
      <c r="E43" s="45"/>
      <c r="F43" s="155">
        <f>IF(F12&gt;0,F12*$C9,F11*$C9)</f>
        <v>507.5</v>
      </c>
      <c r="G43" s="179">
        <f ca="1">G16*$C9</f>
        <v>647.5</v>
      </c>
      <c r="H43" s="180">
        <f ca="1">H16*$D9</f>
        <v>488.42999999999995</v>
      </c>
      <c r="I43" s="178"/>
      <c r="J43" s="155"/>
      <c r="K43" s="179">
        <f ca="1">K16*C9</f>
        <v>647.5</v>
      </c>
      <c r="L43" s="180">
        <f ca="1">L16*D9</f>
        <v>488.42999999999995</v>
      </c>
      <c r="M43" s="45"/>
      <c r="N43" s="155">
        <f>N12*$D9</f>
        <v>405</v>
      </c>
      <c r="O43" s="180">
        <f ca="1">O16*D9</f>
        <v>488.42999999999995</v>
      </c>
      <c r="P43" s="45"/>
      <c r="Q43" s="155"/>
      <c r="R43" s="180">
        <f ca="1">R16*D9</f>
        <v>488.42999999999995</v>
      </c>
    </row>
    <row r="44" spans="1:28" x14ac:dyDescent="0.2">
      <c r="A44" s="165" t="s">
        <v>8</v>
      </c>
      <c r="B44" s="109"/>
      <c r="C44" s="109"/>
      <c r="D44" s="247"/>
      <c r="E44" s="45"/>
      <c r="F44" s="155">
        <f ca="1">IF($F12&lt;0.9*$F19,IF($C14&lt;Data!$C13+11,0,MAX(CHOOSE(V15,0,(F19*F23-F12)*F21,(F19*F23-F12)*F21,(F19*F21*F23-F12*$C10),(F19*F21*F23-F12*$C10)),0)),0)</f>
        <v>0</v>
      </c>
      <c r="G44" s="179">
        <f ca="1">MAX(CHOOSE(V15,0,(G19*G23-G16)*G21,(G19*G23-G16)*G21,(G19*G21*G23-G16*$C10),(G19*G21*G23-G16*$C10)),0)</f>
        <v>0</v>
      </c>
      <c r="H44" s="180">
        <f ca="1">IF(0.65*F44&gt;IF(H35&gt;0,CHOOSE(W15,0,(H19*H23-H16)*H21,(H19*H23-H16)*H21,(H19*H21*H23-H16*D10),(H19*H21*H23-H16*D10)),0),F44,0.35*F44)</f>
        <v>0</v>
      </c>
      <c r="I44" s="109"/>
      <c r="J44" s="155" t="str">
        <f ca="1">IF(J14&gt;Data!C13,IF(V15&gt;2,0.55*J19*C$21*C22,0),"too early")</f>
        <v>too early</v>
      </c>
      <c r="K44" s="179">
        <f ca="1">MAX(CHOOSE(V15,0,(K19*K23-K16)*K21,(K19*K23-K16)*K21,(K19*K21*K23-K16*$C10),(K19*K21*K23-K16*$C10)),0)</f>
        <v>0</v>
      </c>
      <c r="L44" s="180">
        <f ca="1">IF(L14&gt;Data!C13+25,J44*0.35,0)</f>
        <v>0</v>
      </c>
      <c r="M44" s="45"/>
      <c r="N44" s="106"/>
      <c r="O44" s="108"/>
      <c r="P44" s="45"/>
      <c r="Q44" s="106"/>
      <c r="R44" s="180"/>
    </row>
    <row r="45" spans="1:28" x14ac:dyDescent="0.2">
      <c r="A45" s="165" t="s">
        <v>7</v>
      </c>
      <c r="B45" s="109"/>
      <c r="C45" s="109"/>
      <c r="D45" s="161"/>
      <c r="E45" s="45"/>
      <c r="F45" s="155"/>
      <c r="G45" s="179"/>
      <c r="H45" s="180">
        <f ca="1">IF(H35&gt;0,IF(MAX(CHOOSE($W$15,0,0,(H19*H23-H16)*H21,(H19*MAX(H21,$D10)*H23-H16*$D10),(H19*H21*H23-H16*$D10)),0)&gt;0.65*F44,MAX(CHOOSE($W$15,0,0,(H19*H23-H16)*H21,(H19*MAX(H21,$D10)*H23-H16*$D10),(H19*H21*H23-H16*$D10)),0),0),0)</f>
        <v>0</v>
      </c>
      <c r="I45" s="178"/>
      <c r="J45" s="106"/>
      <c r="K45" s="107"/>
      <c r="L45" s="180">
        <f ca="1">IF(L35&gt;0,MAX(CHOOSE($W$15,0,0,(L19*L23-L16)*L21,(L19*L21*L23-L16*$D10),(L19*MAX(L21,$D10)*L23-L16*$D10),(L19*MAX(L21,$D10)*L23-L16*$D10)),0),0)</f>
        <v>0</v>
      </c>
      <c r="M45" s="45"/>
      <c r="N45" s="155">
        <f ca="1">IF($N12&lt;0.9*$N19,IF($D14&lt;Data!$D13+11,0,MAX(CHOOSE($W$15,0,(N19*N23-N12)*N21,(N19*N23-N12)*N21,(N19*N21*N23-N12*$D10),(N19*N21*N23-N12*$D10)),0)),0)</f>
        <v>0</v>
      </c>
      <c r="O45" s="180">
        <f ca="1">MAX(CHOOSE($W$15,0,(O19*O23-O16)*O21,(O19*O23-O16)*O21,(O19*O21*O23-O16*$D10),(O19*O21*O23-O16*$D10)),0)</f>
        <v>0</v>
      </c>
      <c r="P45" s="45"/>
      <c r="Q45" s="155">
        <f ca="1">IF(Q14&gt;Data!D13,IF(W15&gt;2,0.6*Q19*Data!D5*D22,0),"too early")</f>
        <v>267.59699999999998</v>
      </c>
      <c r="R45" s="180">
        <f ca="1">MAX(CHOOSE($W$15,0,(R19*R23-R16)*R21,(R19*R23-R16)*R21,(R19*R21*R23-R16*$D10),(R19*R21*R23-R16*$D10)),0)</f>
        <v>0</v>
      </c>
    </row>
    <row r="46" spans="1:28" ht="15" x14ac:dyDescent="0.35">
      <c r="A46" s="165" t="s">
        <v>9</v>
      </c>
      <c r="B46" s="109"/>
      <c r="C46" s="109"/>
      <c r="D46" s="161"/>
      <c r="E46" s="45"/>
      <c r="F46" s="34"/>
      <c r="G46" s="181">
        <f>IF(G$12&lt;0.9*G$19,IF(V15&gt;2,MIN(SUM(G28:G34),8*Data!C6),0),0)</f>
        <v>32</v>
      </c>
      <c r="H46" s="35"/>
      <c r="I46" s="33"/>
      <c r="J46" s="182"/>
      <c r="K46" s="181"/>
      <c r="L46" s="183"/>
      <c r="M46" s="32"/>
      <c r="N46" s="34"/>
      <c r="O46" s="183">
        <f>IF(O12&lt;0.9*O19,IF(W15&gt;2,MIN(SUM(O28:O34),3*Data!D$5),0),0)</f>
        <v>28.619999999999997</v>
      </c>
      <c r="P46" s="32"/>
      <c r="Q46" s="182"/>
      <c r="R46" s="183"/>
    </row>
    <row r="47" spans="1:28" x14ac:dyDescent="0.2">
      <c r="A47" s="165" t="s">
        <v>24</v>
      </c>
      <c r="B47" s="109"/>
      <c r="C47" s="109"/>
      <c r="D47" s="161"/>
      <c r="E47" s="45"/>
      <c r="F47" s="155">
        <f ca="1">SUM(F43:F46)</f>
        <v>507.5</v>
      </c>
      <c r="G47" s="179">
        <f t="shared" ref="G47:R47" ca="1" si="1">SUM(G43:G46)</f>
        <v>679.5</v>
      </c>
      <c r="H47" s="180">
        <f t="shared" ca="1" si="1"/>
        <v>488.42999999999995</v>
      </c>
      <c r="I47" s="178">
        <f>SUM(I43:I46)</f>
        <v>0</v>
      </c>
      <c r="J47" s="155">
        <f ca="1">SUM(J43:J46)</f>
        <v>0</v>
      </c>
      <c r="K47" s="179">
        <f ca="1">SUM(K43:K46)</f>
        <v>647.5</v>
      </c>
      <c r="L47" s="180">
        <f ca="1">SUM(L43:L46)</f>
        <v>488.42999999999995</v>
      </c>
      <c r="M47" s="178">
        <f t="shared" si="1"/>
        <v>0</v>
      </c>
      <c r="N47" s="155">
        <f t="shared" ca="1" si="1"/>
        <v>405</v>
      </c>
      <c r="O47" s="180">
        <f t="shared" ca="1" si="1"/>
        <v>517.04999999999995</v>
      </c>
      <c r="P47" s="178"/>
      <c r="Q47" s="155">
        <f t="shared" ca="1" si="1"/>
        <v>267.59699999999998</v>
      </c>
      <c r="R47" s="180">
        <f t="shared" ca="1" si="1"/>
        <v>488.42999999999995</v>
      </c>
    </row>
    <row r="48" spans="1:28" ht="13.5" thickBot="1" x14ac:dyDescent="0.25">
      <c r="A48" s="311" t="s">
        <v>103</v>
      </c>
      <c r="B48" s="184"/>
      <c r="C48" s="185"/>
      <c r="D48" s="186"/>
      <c r="E48" s="45"/>
      <c r="F48" s="187">
        <f ca="1">SUM(F43:F46)-F41-F24</f>
        <v>415.25</v>
      </c>
      <c r="G48" s="188">
        <f ca="1">SUM(G43:G46)-G41-G24</f>
        <v>552</v>
      </c>
      <c r="H48" s="189">
        <f ca="1">SUM(H43:H46)-H41-H24</f>
        <v>345.71649999999994</v>
      </c>
      <c r="I48" s="190"/>
      <c r="J48" s="187">
        <f ca="1">SUM(J43:J46)-J41-J24</f>
        <v>-30</v>
      </c>
      <c r="K48" s="188">
        <f ca="1">SUM(K43:K46)-K41-K24</f>
        <v>520</v>
      </c>
      <c r="L48" s="189">
        <f ca="1">SUM(L43:L46)-L41-L24</f>
        <v>391.71649999999994</v>
      </c>
      <c r="M48" s="191"/>
      <c r="N48" s="187">
        <f ca="1">SUM(N43:N46)-N41-N24</f>
        <v>366.75</v>
      </c>
      <c r="O48" s="189">
        <f ca="1">SUM(O43:O46)-O41-O24</f>
        <v>435.33649999999994</v>
      </c>
      <c r="P48" s="191"/>
      <c r="Q48" s="187">
        <f ca="1">SUM(Q43:Q46)-Q41-Q24</f>
        <v>243.59699999999998</v>
      </c>
      <c r="R48" s="189">
        <f ca="1">SUM(R43:R46)-R41-R24</f>
        <v>425.71649999999994</v>
      </c>
    </row>
    <row r="49" spans="1:28" ht="11.1" customHeight="1" x14ac:dyDescent="0.2">
      <c r="A49" s="29"/>
      <c r="B49" s="29"/>
    </row>
    <row r="50" spans="1:28" ht="11.1" customHeight="1" x14ac:dyDescent="0.2">
      <c r="A50" s="29"/>
      <c r="B50" s="29"/>
      <c r="E50" s="36"/>
      <c r="F50" s="308"/>
      <c r="G50" s="36"/>
      <c r="H50" s="310"/>
    </row>
    <row r="51" spans="1:28" x14ac:dyDescent="0.2">
      <c r="A51" s="245" t="s">
        <v>119</v>
      </c>
      <c r="B51" s="283"/>
      <c r="C51" s="192"/>
      <c r="D51" s="193"/>
      <c r="E51" s="250"/>
      <c r="F51" s="309"/>
      <c r="G51" s="250"/>
      <c r="H51" s="88"/>
    </row>
    <row r="52" spans="1:28" x14ac:dyDescent="0.2">
      <c r="A52" s="269" t="s">
        <v>47</v>
      </c>
      <c r="B52" s="44"/>
      <c r="C52" s="45"/>
      <c r="D52" s="45"/>
      <c r="E52" s="36"/>
      <c r="F52" s="36"/>
      <c r="G52" s="36"/>
      <c r="H52" s="45"/>
    </row>
    <row r="53" spans="1:28" x14ac:dyDescent="0.2">
      <c r="A53" s="194" t="s">
        <v>48</v>
      </c>
      <c r="B53" s="194"/>
      <c r="E53" s="36"/>
      <c r="F53" s="251"/>
      <c r="G53" s="252"/>
      <c r="H53" s="45"/>
    </row>
    <row r="54" spans="1:28" x14ac:dyDescent="0.2">
      <c r="A54" s="345">
        <f ca="1">TODAY()</f>
        <v>43608</v>
      </c>
      <c r="B54" s="345"/>
      <c r="C54" s="345"/>
      <c r="D54" s="45"/>
      <c r="E54" s="253"/>
      <c r="F54" s="252"/>
      <c r="G54" s="252"/>
      <c r="H54" s="45"/>
    </row>
    <row r="55" spans="1:28" x14ac:dyDescent="0.2">
      <c r="A55" s="243" t="str">
        <f>CONCATENATE(4,"/",16,"/",YEAR(C14))</f>
        <v>4/16/2019</v>
      </c>
      <c r="F55" s="208"/>
      <c r="G55" s="208"/>
    </row>
    <row r="56" spans="1:28" x14ac:dyDescent="0.2">
      <c r="A56" s="94"/>
      <c r="B56" s="94"/>
      <c r="C56" s="95"/>
      <c r="D56" s="95"/>
      <c r="E56" s="95"/>
      <c r="F56" s="95"/>
      <c r="G56" s="95"/>
      <c r="H56" s="95"/>
      <c r="I56" s="95"/>
      <c r="J56" s="95"/>
      <c r="K56" s="95"/>
      <c r="L56" s="95"/>
      <c r="M56" s="95"/>
      <c r="N56" s="95"/>
      <c r="O56" s="95"/>
      <c r="P56" s="95"/>
      <c r="Q56" s="95"/>
      <c r="R56" s="95"/>
    </row>
    <row r="57" spans="1:28" ht="12.95" customHeight="1" x14ac:dyDescent="0.2">
      <c r="A57" s="351" t="s">
        <v>93</v>
      </c>
      <c r="B57" s="351"/>
      <c r="C57" s="351"/>
      <c r="D57" s="351"/>
      <c r="E57" s="351"/>
      <c r="F57" s="351"/>
      <c r="G57" s="351"/>
      <c r="H57" s="351"/>
      <c r="I57" s="351"/>
      <c r="J57" s="351"/>
      <c r="K57" s="351"/>
      <c r="L57" s="351"/>
      <c r="M57" s="351"/>
      <c r="N57" s="351"/>
      <c r="O57" s="204"/>
      <c r="P57" s="204"/>
      <c r="Q57" s="204"/>
      <c r="R57" s="204"/>
    </row>
    <row r="58" spans="1:28" x14ac:dyDescent="0.2">
      <c r="A58" s="351"/>
      <c r="B58" s="351"/>
      <c r="C58" s="351"/>
      <c r="D58" s="351"/>
      <c r="E58" s="351"/>
      <c r="F58" s="351"/>
      <c r="G58" s="351"/>
      <c r="H58" s="351"/>
      <c r="I58" s="351"/>
      <c r="J58" s="351"/>
      <c r="K58" s="351"/>
      <c r="L58" s="351"/>
      <c r="M58" s="351"/>
      <c r="N58" s="351"/>
      <c r="O58" s="204"/>
      <c r="P58" s="204"/>
      <c r="Q58" s="204"/>
      <c r="R58" s="204"/>
    </row>
    <row r="59" spans="1:28" x14ac:dyDescent="0.2">
      <c r="A59" s="351"/>
      <c r="B59" s="351"/>
      <c r="C59" s="351"/>
      <c r="D59" s="351"/>
      <c r="E59" s="351"/>
      <c r="F59" s="351"/>
      <c r="G59" s="351"/>
      <c r="H59" s="351"/>
      <c r="I59" s="351"/>
      <c r="J59" s="351"/>
      <c r="K59" s="351"/>
      <c r="L59" s="351"/>
      <c r="M59" s="351"/>
      <c r="N59" s="351"/>
      <c r="O59" s="351"/>
      <c r="P59" s="351"/>
      <c r="Q59" s="351"/>
      <c r="R59" s="351"/>
    </row>
    <row r="60" spans="1:28" ht="15.75" thickBot="1" x14ac:dyDescent="0.3">
      <c r="A60" s="195"/>
      <c r="B60" s="195"/>
      <c r="C60" s="195"/>
      <c r="D60" s="257"/>
      <c r="E60" s="195"/>
      <c r="F60" s="173" t="s">
        <v>103</v>
      </c>
      <c r="G60" s="195"/>
      <c r="H60" s="195"/>
      <c r="I60" s="195"/>
      <c r="J60" s="195"/>
      <c r="K60" s="195"/>
      <c r="L60" s="195"/>
      <c r="M60" s="195"/>
      <c r="N60" s="195"/>
      <c r="O60" s="195"/>
      <c r="P60" s="195"/>
      <c r="Q60" s="195"/>
      <c r="R60" s="195"/>
      <c r="U60" s="39"/>
      <c r="V60" s="39"/>
      <c r="W60" s="39"/>
      <c r="X60" s="39"/>
      <c r="Y60" s="39"/>
      <c r="Z60" s="39"/>
      <c r="AA60" s="39"/>
      <c r="AB60" s="39"/>
    </row>
    <row r="61" spans="1:28" x14ac:dyDescent="0.2">
      <c r="A61" s="22" t="s">
        <v>71</v>
      </c>
      <c r="B61" s="258"/>
      <c r="C61" s="259" t="s">
        <v>0</v>
      </c>
      <c r="D61" s="260"/>
      <c r="E61" s="259" t="s">
        <v>1</v>
      </c>
      <c r="F61" s="352" t="s">
        <v>5</v>
      </c>
      <c r="G61" s="353"/>
      <c r="H61" s="354"/>
      <c r="I61" s="72"/>
      <c r="J61" s="355" t="s">
        <v>13</v>
      </c>
      <c r="K61" s="356"/>
      <c r="L61" s="357"/>
      <c r="M61" s="292"/>
      <c r="N61" s="355" t="s">
        <v>11</v>
      </c>
      <c r="O61" s="357"/>
      <c r="P61" s="73"/>
      <c r="Q61" s="355" t="s">
        <v>12</v>
      </c>
      <c r="R61" s="357"/>
      <c r="U61" s="39"/>
      <c r="V61" s="39"/>
      <c r="W61" s="39"/>
      <c r="X61" s="39"/>
      <c r="Y61" s="39"/>
      <c r="Z61" s="39"/>
      <c r="AA61" s="39"/>
      <c r="AB61" s="39"/>
    </row>
    <row r="62" spans="1:28" ht="12.75" customHeight="1" x14ac:dyDescent="0.2">
      <c r="A62" s="291" t="s">
        <v>101</v>
      </c>
      <c r="B62" s="96" t="s">
        <v>0</v>
      </c>
      <c r="C62" s="96" t="s">
        <v>65</v>
      </c>
      <c r="D62" s="96" t="s">
        <v>37</v>
      </c>
      <c r="E62" s="96" t="s">
        <v>67</v>
      </c>
      <c r="F62" s="346" t="s">
        <v>72</v>
      </c>
      <c r="G62" s="347" t="s">
        <v>39</v>
      </c>
      <c r="H62" s="348" t="s">
        <v>41</v>
      </c>
      <c r="I62" s="277"/>
      <c r="J62" s="349" t="s">
        <v>43</v>
      </c>
      <c r="K62" s="350" t="s">
        <v>10</v>
      </c>
      <c r="L62" s="358" t="s">
        <v>44</v>
      </c>
      <c r="M62" s="161"/>
      <c r="N62" s="349" t="s">
        <v>70</v>
      </c>
      <c r="O62" s="358" t="s">
        <v>42</v>
      </c>
      <c r="P62" s="278"/>
      <c r="Q62" s="349" t="s">
        <v>43</v>
      </c>
      <c r="R62" s="342" t="s">
        <v>10</v>
      </c>
      <c r="U62" s="39"/>
      <c r="V62" s="39"/>
      <c r="W62" s="39"/>
      <c r="X62" s="39"/>
      <c r="Y62" s="39"/>
      <c r="Z62" s="39"/>
      <c r="AA62" s="39"/>
      <c r="AB62" s="39"/>
    </row>
    <row r="63" spans="1:28" x14ac:dyDescent="0.2">
      <c r="A63" s="261" t="s">
        <v>34</v>
      </c>
      <c r="B63" s="97" t="s">
        <v>38</v>
      </c>
      <c r="C63" s="97" t="s">
        <v>66</v>
      </c>
      <c r="D63" s="97" t="s">
        <v>38</v>
      </c>
      <c r="E63" s="98" t="s">
        <v>66</v>
      </c>
      <c r="F63" s="346"/>
      <c r="G63" s="347"/>
      <c r="H63" s="348"/>
      <c r="I63" s="277"/>
      <c r="J63" s="349"/>
      <c r="K63" s="350"/>
      <c r="L63" s="358"/>
      <c r="M63" s="161"/>
      <c r="N63" s="349"/>
      <c r="O63" s="358"/>
      <c r="P63" s="278"/>
      <c r="Q63" s="349"/>
      <c r="R63" s="342"/>
      <c r="U63" s="39"/>
      <c r="V63" s="39"/>
      <c r="W63" s="39"/>
      <c r="X63" s="39"/>
      <c r="Y63" s="39"/>
      <c r="Z63" s="39"/>
      <c r="AA63" s="39"/>
      <c r="AB63" s="39"/>
    </row>
    <row r="64" spans="1:28" x14ac:dyDescent="0.2">
      <c r="A64" s="262">
        <f>DATEVALUE(A55)</f>
        <v>43571</v>
      </c>
      <c r="B64" s="203">
        <f ca="1">MAX(MIN((Data!C$33+Data!D$33*(A64-Data!C$20)+Data!E$33*(A64-Data!C$20)^2)/100,1),0)*C$11</f>
        <v>185</v>
      </c>
      <c r="C64" s="196">
        <v>1</v>
      </c>
      <c r="D64" s="209">
        <f ca="1">MIN(1,MAX(CHOOSE(V$14,Data!C$27,Data!C$28,Data!C$29)+CHOOSE(V$14,Data!D$27,Data!D$28,Data!D$29)*(A64-Data!D$20)-CHOOSE(V$14,Data!E$27,Data!E$28,Data!E$29)*((A64-Data!D$20)^2),0))*D$11</f>
        <v>41.25</v>
      </c>
      <c r="E64" s="197">
        <v>1</v>
      </c>
      <c r="F64" s="315">
        <f ca="1">F$43+IF($F$12&lt;0.9*$F$19,IF(A64&lt;Data!$C$13+11,0,MAX(CHOOSE(V$15,0,(F$19*F$23-F$12)*F$21,(F$19*F$23-F$12)*F$21,(F$19*MAX(F$21,C$10)*F$23-F$12*$C$10),(F$19*F$21*F$23-F$12*$C$10)),0))-F$41-F$24)</f>
        <v>415.25</v>
      </c>
      <c r="G64" s="316">
        <f ca="1">C$9*B64+MAX(CHOOSE(V$15,0,(G$19*G$23-B64)*G$21,(G$19*G$23-B64)*G$21,(G$19*G$21*G$23-B64*$C$10),(G$19*G$21*G$23-B64*$C$10)),0)+IF(G$12&lt;0.9*G$19,MIN(SUM(G$28:G$34),8*Data!C$6),0)-SUM(G$28:G$39)-C$40*B64-G$24</f>
        <v>552</v>
      </c>
      <c r="H64" s="317">
        <f ca="1">D64*D$9+IF(0.65*H$44&gt;IF(H$35&gt;0,CHOOSE(W$15,0,(H$19*H$23-D64)*H$21,(H$19*H$23-D64)*H$21,(H$19*MAX(H$21,D$10)*$H$23-D64*D$10),(H$19*H$21*H$23-D64*D$10)),0),H$44,0.35*H$44+0.35*C$24)+IF(H$35&gt;0,IF(MAX(CHOOSE($W$15,0,(H$19*H$23-D64)*H$21,(H$19*H$23-D64)*H$21,(H$19*MAX(H$21,$D$10)*H$23-D64*$D$10),(H$19*H$21*H$23-D64*$D$10)),0)&gt;0.65*H$44,MAX(CHOOSE($W$15,0,(H$19*H$23-D64)*H$21,(H$19*H$23-D64)*H$21,(H$19*MAX(H$21,$D$10)*H$23-D64*$D$10),(H$19*H$21*H$23-D64*$D$10)),0),0),0)-SUM(H$28:H$39)-D$40*D64-$H$24</f>
        <v>249.20799999999997</v>
      </c>
      <c r="I64" s="318"/>
      <c r="J64" s="319" t="str">
        <f ca="1">IF($A64&gt;Data!C$13,0.55*J$19*J$21*C$22-J$41-J$24,"too early")</f>
        <v>too early</v>
      </c>
      <c r="K64" s="320">
        <f ca="1">B64*$C$9+MAX(CHOOSE($V$15,0,(K$19*C$22*C64-B64)*K$21,(K$19*C$22*C64-B64)*K$21,(K$19*MAX(K$21,$C$10)*C$22*C64-B64*$C$10),(K$19*K$21*C$22*C64-B64*$C$10)),0)-SUM(K$28:K$39)-B64*C$40-K$24</f>
        <v>520</v>
      </c>
      <c r="L64" s="314">
        <f ca="1">D64*D$9+IF(A64&gt;Data!C$13+25,0.55*J$19*J$21*C$22*0.35+0.35*C$24,0)+IF(L$35&gt;0,MAX(CHOOSE($W$15,0,(L$19*D$22*E64-D64)*L$21,(L$19*D$22*E64-D64)*L$21,(L$19*MAX(L$21,$D$10)*D$22*E64-D64*$D$10),(L$19*L$21*D$22*E64-D64*$D$10)),0),0)-SUM(L$28:L$39)-D64*D$40-L$24</f>
        <v>329.30749999999995</v>
      </c>
      <c r="M64" s="321"/>
      <c r="N64" s="322">
        <f ca="1">N$43+IF($N$12&lt;0.9*$N$19,IF($A64&lt;Data!$D$13+11,0,MAX(CHOOSE(W$15,0,(N$19*N$23-N$12)*N$21*(N$19*N$23-N$12)*N$21,(N$19*MAX(N$21,D$10)*N$23-N$12*$D$10),(N$19*N$21*N$23-N$12*$D$10)),0))-N$41-N$24)</f>
        <v>366.75</v>
      </c>
      <c r="O64" s="323">
        <f ca="1">D$9*D64+MAX(CHOOSE(W$15,0,(O$19*O$23-D64)*O$21,(O$19*O$23-D64)*O$21,(O$19*MAX(O$21,$D$10)*O$23-D64*$D$10),(O$19*O$21*O$23-D64*$D$10)),0)+IF(O$12&lt;0.9*O$19,MIN(SUM(O$28:O$34),3*Data!D$5),0)-SUM(O$28:O$39)-D64*D$40-O$24</f>
        <v>372.92749999999995</v>
      </c>
      <c r="P64" s="318"/>
      <c r="Q64" s="313" t="str">
        <f ca="1">IF($A64&gt;Data!D$13,0.6*Q$19*Q$21*D$22-Q$41-Q$24,"too early")</f>
        <v>too early</v>
      </c>
      <c r="R64" s="314">
        <f ca="1">D64*$D$9+MAX(CHOOSE($W$15,0,(R$19*D$22*E64-D64)*R$21,(R$19*D$22*E64-D64)*R$21,(R$19*MAX(R$21,$D$10)*D$22*E64-D64*$D$10),(R$19*R$21*D$22*E64-D64*$D$10)),0)-SUM(R$28:R$39)-D64*D$40-R$24</f>
        <v>363.30749999999995</v>
      </c>
      <c r="U64" s="39"/>
      <c r="V64" s="39"/>
      <c r="W64" s="39"/>
      <c r="X64" s="39"/>
      <c r="Y64" s="39"/>
      <c r="Z64" s="39"/>
      <c r="AA64" s="39"/>
      <c r="AB64" s="39"/>
    </row>
    <row r="65" spans="1:28" x14ac:dyDescent="0.2">
      <c r="A65" s="262">
        <f>A64+7</f>
        <v>43578</v>
      </c>
      <c r="B65" s="203">
        <f ca="1">MAX(MIN((Data!C$33+Data!D$33*(A65-Data!C$20)+Data!E$33*(A65-Data!C$20)^2)/100,1),0)*C$11</f>
        <v>185</v>
      </c>
      <c r="C65" s="196">
        <v>1</v>
      </c>
      <c r="D65" s="209">
        <f ca="1">MIN(1,MAX(CHOOSE(V$14,Data!C$27,Data!C$28,Data!C$29)+CHOOSE(V$14,Data!D$27,Data!D$28,Data!D$29)*(A65-Data!D$20)-CHOOSE(V$14,Data!E$27,Data!E$28,Data!E$29)*((A65-Data!D$20)^2),0))*D$11</f>
        <v>46.785600000000002</v>
      </c>
      <c r="E65" s="197">
        <v>1</v>
      </c>
      <c r="F65" s="315">
        <f ca="1">F$43+IF($F$12&lt;0.9*$F$19,IF(A65&lt;Data!$C$13+11,0,MAX(CHOOSE(V$15,0,(F$19*F$23-F$12)*F$21,(F$19*F$23-F$12)*F$21,(F$19*MAX(F$21,C$10)*F$23-F$12*$C$10),(F$19*F$21*F$23-F$12*$C$10)),0))-F$41-F$24)</f>
        <v>415.25</v>
      </c>
      <c r="G65" s="316">
        <f ca="1">C$9*B65+MAX(CHOOSE(V$15,0,(G$19*G$23-B65)*G$21,(G$19*G$23-B65)*G$21,(G$19*G$21*G$23-B65*$C$10),(G$19*G$21*G$23-B65*$C$10)),0)+IF(G$12&lt;0.9*G$19,MIN(SUM(G$28:G$34),8*Data!C$6),0)-SUM(G$28:G$39)-C$40*B65-G$24</f>
        <v>552</v>
      </c>
      <c r="H65" s="317">
        <f t="shared" ref="H65:H76" ca="1" si="2">D65*D$9+IF(0.65*H$44&gt;IF(H$35&gt;0,CHOOSE(W$15,0,(H$19*H$23-D65)*H$21,(H$19*H$23-D65)*H$21,(H$19*MAX(H$21,D$10)*$H$23-D65*D$10),(H$19*H$21*H$23-D65*D$10)),0),H$44,0.35*H$44+0.35*C$24)+IF(H$35&gt;0,IF(MAX(CHOOSE($W$15,0,(H$19*H$23-D65)*H$21,(H$19*H$23-D65)*H$21,(H$19*MAX(H$21,$D$10)*H$23-D65*$D$10),(H$19*H$21*H$23-D65*$D$10)),0)&gt;0.65*H$44,MAX(CHOOSE($W$15,0,(H$19*H$23-D65)*H$21,(H$19*H$23-D65)*H$21,(H$19*MAX(H$21,$D$10)*H$23-D65*$D$10),(H$19*H$21*H$23-D65*$D$10)),0),0),0)-SUM(H$28:H$39)-D$40*D65-$H$24</f>
        <v>278.73112000000003</v>
      </c>
      <c r="I65" s="318"/>
      <c r="J65" s="319" t="str">
        <f ca="1">IF($A65&gt;Data!C$13,0.55*J$19*J$21*C$22-J$41-J$24,"too early")</f>
        <v>too early</v>
      </c>
      <c r="K65" s="320">
        <f t="shared" ref="K65:K76" ca="1" si="3">B65*$C$9+MAX(CHOOSE($V$15,0,(K$19*C$22*C65-B65)*K$21,(K$19*C$22*C65-B65)*K$21,(K$19*MAX(K$21,$C$10)*C$22*C65-B65*$C$10),(K$19*K$21*C$22*C65-B65*$C$10)),0)-SUM(K$28:K$39)-B65*C$40-K$24</f>
        <v>520</v>
      </c>
      <c r="L65" s="314">
        <f ca="1">D65*D$9+IF(A65&gt;Data!C$13+25,0.55*J$19*J$21*C$22*0.35+0.35*C$24,0)+IF(L$35&gt;0,MAX(CHOOSE($W$15,0,(L$19*D$22*E65-D65)*L$21,(L$19*D$22*E65-D65)*L$21,(L$19*MAX(L$21,$D$10)*D$22*E65-D65*$D$10),(L$19*L$21*D$22*E65-D65*$D$10)),0),0)-SUM(L$28:L$39)-D65*D$40-L$24</f>
        <v>326.26291999999995</v>
      </c>
      <c r="M65" s="321"/>
      <c r="N65" s="322">
        <f ca="1">N$43+IF($N$12&lt;0.9*$N$19,IF($A65&lt;Data!$D$13+11,0,MAX(CHOOSE(W$15,0,(N$19*N$23-N$12)*N$21*(N$19*N$23-N$12)*N$21,(N$19*MAX(N$21,D$10)*N$23-N$12*$D$10),(N$19*N$21*N$23-N$12*$D$10)),0))-N$41-N$24)</f>
        <v>366.75</v>
      </c>
      <c r="O65" s="323">
        <f ca="1">D$9*D65+MAX(CHOOSE(W$15,0,(O$19*O$23-D65)*O$21,(O$19*O$23-D65)*O$21,(O$19*MAX(O$21,$D$10)*O$23-D65*$D$10),(O$19*O$21*O$23-D65*$D$10)),0)+IF(O$12&lt;0.9*O$19,MIN(SUM(O$28:O$34),3*Data!D$5),0)-SUM(O$28:O$39)-D65*D$40-O$24</f>
        <v>369.88291999999996</v>
      </c>
      <c r="P65" s="318"/>
      <c r="Q65" s="313" t="str">
        <f ca="1">IF($A65&gt;Data!D$13,0.6*Q$19*Q$21*D$22-Q$41-Q$24,"too early")</f>
        <v>too early</v>
      </c>
      <c r="R65" s="314">
        <f t="shared" ref="R65:R76" ca="1" si="4">D65*$D$9+MAX(CHOOSE($W$15,0,(R$19*D$22*E65-D65)*R$21,(R$19*D$22*E65-D65)*R$21,(R$19*MAX(R$21,$D$10)*D$22*E65-D65*$D$10),(R$19*R$21*D$22*E65-D65*$D$10)),0)-SUM(R$28:R$39)-D65*D$40-R$24</f>
        <v>360.26291999999995</v>
      </c>
      <c r="U65" s="39"/>
      <c r="V65" s="39"/>
      <c r="W65" s="39"/>
      <c r="X65" s="39"/>
      <c r="Y65" s="39"/>
      <c r="Z65" s="39"/>
      <c r="AA65" s="39"/>
      <c r="AB65" s="39"/>
    </row>
    <row r="66" spans="1:28" x14ac:dyDescent="0.2">
      <c r="A66" s="262">
        <f t="shared" ref="A66:A76" si="5">A65+7</f>
        <v>43585</v>
      </c>
      <c r="B66" s="203">
        <f ca="1">MAX(MIN((Data!C$33+Data!D$33*(A66-Data!C$20)+Data!E$33*(A66-Data!C$20)^2)/100,1),0)*C$11</f>
        <v>185</v>
      </c>
      <c r="C66" s="196">
        <v>1</v>
      </c>
      <c r="D66" s="209">
        <f ca="1">MIN(1,MAX(CHOOSE(V$14,Data!C$27,Data!C$28,Data!C$29)+CHOOSE(V$14,Data!D$27,Data!D$28,Data!D$29)*(A66-Data!D$20)-CHOOSE(V$14,Data!E$27,Data!E$28,Data!E$29)*((A66-Data!D$20)^2),0))*D$11</f>
        <v>51.380400000000002</v>
      </c>
      <c r="E66" s="197">
        <v>1</v>
      </c>
      <c r="F66" s="315">
        <f ca="1">F$43+IF($F$12&lt;0.9*$F$19,IF(A66&lt;Data!$C$13+11,0,MAX(CHOOSE(V$15,0,(F$19*F$23-F$12)*F$21,(F$19*F$23-F$12)*F$21,(F$19*MAX(F$21,C$10)*F$23-F$12*$C$10),(F$19*F$21*F$23-F$12*$C$10)),0))-F$41-F$24)</f>
        <v>415.25</v>
      </c>
      <c r="G66" s="316">
        <f ca="1">C$9*B66+MAX(CHOOSE(V$15,0,(G$19*G$23-B66)*G$21,(G$19*G$23-B66)*G$21,(G$19*G$21*G$23-B66*$C$10),(G$19*G$21*G$23-B66*$C$10)),0)+IF(G$12&lt;0.9*G$19,MIN(SUM(G$28:G$34),8*Data!C$6),0)-SUM(G$28:G$39)-C$40*B66-G$24</f>
        <v>552</v>
      </c>
      <c r="H66" s="317">
        <f t="shared" ca="1" si="2"/>
        <v>319.85458</v>
      </c>
      <c r="I66" s="318"/>
      <c r="J66" s="319" t="str">
        <f ca="1">IF($A66&gt;Data!C$13,0.55*J$19*J$21*C$22-J$41-J$24,"too early")</f>
        <v>too early</v>
      </c>
      <c r="K66" s="320">
        <f t="shared" ca="1" si="3"/>
        <v>520</v>
      </c>
      <c r="L66" s="314">
        <f ca="1">D66*D$9+IF(A66&gt;Data!C$13+25,0.55*J$19*J$21*C$22*0.35+0.35*C$24,0)+IF(L$35&gt;0,MAX(CHOOSE($W$15,0,(L$19*D$22*E66-D66)*L$21,(L$19*D$22*E66-D66)*L$21,(L$19*MAX(L$21,$D$10)*D$22*E66-D66*$D$10),(L$19*L$21*D$22*E66-D66*$D$10)),0),0)-SUM(L$28:L$39)-D66*D$40-L$24</f>
        <v>365.85458</v>
      </c>
      <c r="M66" s="321"/>
      <c r="N66" s="322">
        <f ca="1">N$43+IF($N$12&lt;0.9*$N$19,IF($A66&lt;Data!$D$13+11,0,MAX(CHOOSE(W$15,0,(N$19*N$23-N$12)*N$21*(N$19*N$23-N$12)*N$21,(N$19*MAX(N$21,D$10)*N$23-N$12*$D$10),(N$19*N$21*N$23-N$12*$D$10)),0))-N$41-N$24)</f>
        <v>366.75</v>
      </c>
      <c r="O66" s="323">
        <f ca="1">D$9*D66+MAX(CHOOSE(W$15,0,(O$19*O$23-D66)*O$21,(O$19*O$23-D66)*O$21,(O$19*MAX(O$21,$D$10)*O$23-D66*$D$10),(O$19*O$21*O$23-D66*$D$10)),0)+IF(O$12&lt;0.9*O$19,MIN(SUM(O$28:O$34),3*Data!D$5),0)-SUM(O$28:O$39)-D66*D$40-O$24</f>
        <v>409.47458</v>
      </c>
      <c r="P66" s="318"/>
      <c r="Q66" s="313" t="str">
        <f ca="1">IF($A66&gt;Data!D$13,0.6*Q$19*Q$21*D$22-Q$41-Q$24,"too early")</f>
        <v>too early</v>
      </c>
      <c r="R66" s="314">
        <f t="shared" ca="1" si="4"/>
        <v>399.85458</v>
      </c>
      <c r="U66" s="39"/>
      <c r="V66" s="39"/>
      <c r="W66" s="39"/>
      <c r="X66" s="39"/>
      <c r="Y66" s="39"/>
      <c r="Z66" s="39"/>
      <c r="AA66" s="39"/>
      <c r="AB66" s="39"/>
    </row>
    <row r="67" spans="1:28" x14ac:dyDescent="0.2">
      <c r="A67" s="262">
        <f t="shared" si="5"/>
        <v>43592</v>
      </c>
      <c r="B67" s="203">
        <f ca="1">MAX(MIN((Data!C$33+Data!D$33*(A67-Data!C$20)+Data!E$33*(A67-Data!C$20)^2)/100,1),0)*C$11</f>
        <v>185</v>
      </c>
      <c r="C67" s="196">
        <v>1</v>
      </c>
      <c r="D67" s="209">
        <f ca="1">MIN(1,MAX(CHOOSE(V$14,Data!C$27,Data!C$28,Data!C$29)+CHOOSE(V$14,Data!D$27,Data!D$28,Data!D$29)*(A67-Data!D$20)-CHOOSE(V$14,Data!E$27,Data!E$28,Data!E$29)*((A67-Data!D$20)^2),0))*D$11</f>
        <v>55.034399999999998</v>
      </c>
      <c r="E67" s="197">
        <v>1</v>
      </c>
      <c r="F67" s="315">
        <f ca="1">F$43+IF($F$12&lt;0.9*$F$19,IF(A67&lt;Data!$C$13+11,0,MAX(CHOOSE(V$15,0,(F$19*F$23-F$12)*F$21,(F$19*F$23-F$12)*F$21,(F$19*MAX(F$21,C$10)*F$23-F$12*$C$10),(F$19*F$21*F$23-F$12*$C$10)),0))-F$41-F$24)</f>
        <v>415.25</v>
      </c>
      <c r="G67" s="316">
        <f ca="1">C$9*B67+MAX(CHOOSE(V$15,0,(G$19*G$23-B67)*G$21,(G$19*G$23-B67)*G$21,(G$19*G$21*G$23-B67*$C$10),(G$19*G$21*G$23-B67*$C$10)),0)+IF(G$12&lt;0.9*G$19,MIN(SUM(G$28:G$34),8*Data!C$6),0)-SUM(G$28:G$39)-C$40*B67-G$24</f>
        <v>552</v>
      </c>
      <c r="H67" s="317">
        <f t="shared" ca="1" si="2"/>
        <v>352.55788000000001</v>
      </c>
      <c r="I67" s="318"/>
      <c r="J67" s="319" t="str">
        <f ca="1">IF($A67&gt;Data!C$13,0.55*J$19*J$21*C$22-J$41-J$24,"too early")</f>
        <v>too early</v>
      </c>
      <c r="K67" s="320">
        <f t="shared" ca="1" si="3"/>
        <v>520</v>
      </c>
      <c r="L67" s="314">
        <f ca="1">D67*D$9+IF(A67&gt;Data!C$13+25,0.55*J$19*J$21*C$22*0.35+0.35*C$24,0)+IF(L$35&gt;0,MAX(CHOOSE($W$15,0,(L$19*D$22*E67-D67)*L$21,(L$19*D$22*E67-D67)*L$21,(L$19*MAX(L$21,$D$10)*D$22*E67-D67*$D$10),(L$19*L$21*D$22*E67-D67*$D$10)),0),0)-SUM(L$28:L$39)-D67*D$40-L$24</f>
        <v>398.55788000000001</v>
      </c>
      <c r="M67" s="321"/>
      <c r="N67" s="322">
        <f ca="1">N$43+IF($N$12&lt;0.9*$N$19,IF($A67&lt;Data!$D$13+11,0,MAX(CHOOSE(W$15,0,(N$19*N$23-N$12)*N$21*(N$19*N$23-N$12)*N$21,(N$19*MAX(N$21,D$10)*N$23-N$12*$D$10),(N$19*N$21*N$23-N$12*$D$10)),0))-N$41-N$24)</f>
        <v>366.75</v>
      </c>
      <c r="O67" s="323">
        <f ca="1">D$9*D67+MAX(CHOOSE(W$15,0,(O$19*O$23-D67)*O$21,(O$19*O$23-D67)*O$21,(O$19*MAX(O$21,$D$10)*O$23-D67*$D$10),(O$19*O$21*O$23-D67*$D$10)),0)+IF(O$12&lt;0.9*O$19,MIN(SUM(O$28:O$34),3*Data!D$5),0)-SUM(O$28:O$39)-D67*D$40-O$24</f>
        <v>442.17787999999996</v>
      </c>
      <c r="P67" s="318"/>
      <c r="Q67" s="313" t="str">
        <f ca="1">IF($A67&gt;Data!D$13,0.6*Q$19*Q$21*D$22-Q$41-Q$24,"too early")</f>
        <v>too early</v>
      </c>
      <c r="R67" s="314">
        <f t="shared" ca="1" si="4"/>
        <v>432.55788000000001</v>
      </c>
      <c r="U67" s="39"/>
      <c r="V67" s="39"/>
      <c r="W67" s="39"/>
      <c r="X67" s="39"/>
      <c r="Y67" s="39"/>
      <c r="Z67" s="39"/>
      <c r="AA67" s="39"/>
      <c r="AB67" s="39"/>
    </row>
    <row r="68" spans="1:28" x14ac:dyDescent="0.2">
      <c r="A68" s="262">
        <f t="shared" si="5"/>
        <v>43599</v>
      </c>
      <c r="B68" s="203">
        <f ca="1">MAX(MIN((Data!C$33+Data!D$33*(A68-Data!C$20)+Data!E$33*(A68-Data!C$20)^2)/100,1),0)*C$11</f>
        <v>185</v>
      </c>
      <c r="C68" s="196">
        <v>1</v>
      </c>
      <c r="D68" s="209">
        <f ca="1">MIN(1,MAX(CHOOSE(V$14,Data!C$27,Data!C$28,Data!C$29)+CHOOSE(V$14,Data!D$27,Data!D$28,Data!D$29)*(A68-Data!D$20)-CHOOSE(V$14,Data!E$27,Data!E$28,Data!E$29)*((A68-Data!D$20)^2),0))*D$11</f>
        <v>57.747599999999991</v>
      </c>
      <c r="E68" s="197">
        <v>1</v>
      </c>
      <c r="F68" s="315">
        <f ca="1">F$43+IF($F$12&lt;0.9*$F$19,IF(A68&lt;Data!$C$13+11,0,MAX(CHOOSE(V$15,0,(F$19*F$23-F$12)*F$21,(F$19*F$23-F$12)*F$21,(F$19*MAX(F$21,C$10)*F$23-F$12*$C$10),(F$19*F$21*F$23-F$12*$C$10)),0))-F$41-F$24)</f>
        <v>415.25</v>
      </c>
      <c r="G68" s="316">
        <f ca="1">C$9*B68+MAX(CHOOSE(V$15,0,(G$19*G$23-B68)*G$21,(G$19*G$23-B68)*G$21,(G$19*G$21*G$23-B68*$C$10),(G$19*G$21*G$23-B68*$C$10)),0)+IF(G$12&lt;0.9*G$19,MIN(SUM(G$28:G$34),8*Data!C$6),0)-SUM(G$28:G$39)-C$40*B68-G$24</f>
        <v>552</v>
      </c>
      <c r="H68" s="317">
        <f t="shared" ca="1" si="2"/>
        <v>376.84101999999996</v>
      </c>
      <c r="I68" s="318"/>
      <c r="J68" s="319" t="str">
        <f ca="1">IF($A68&gt;Data!C$13,0.55*J$19*J$21*C$22-J$41-J$24,"too early")</f>
        <v>too early</v>
      </c>
      <c r="K68" s="320">
        <f t="shared" ca="1" si="3"/>
        <v>520</v>
      </c>
      <c r="L68" s="314">
        <f ca="1">D68*D$9+IF(A68&gt;Data!C$13+25,0.55*J$19*J$21*C$22*0.35+0.35*C$24,0)+IF(L$35&gt;0,MAX(CHOOSE($W$15,0,(L$19*D$22*E68-D68)*L$21,(L$19*D$22*E68-D68)*L$21,(L$19*MAX(L$21,$D$10)*D$22*E68-D68*$D$10),(L$19*L$21*D$22*E68-D68*$D$10)),0),0)-SUM(L$28:L$39)-D68*D$40-L$24</f>
        <v>422.84101999999996</v>
      </c>
      <c r="M68" s="321"/>
      <c r="N68" s="322">
        <f ca="1">N$43+IF($N$12&lt;0.9*$N$19,IF($A68&lt;Data!$D$13+11,0,MAX(CHOOSE(W$15,0,(N$19*N$23-N$12)*N$21*(N$19*N$23-N$12)*N$21,(N$19*MAX(N$21,D$10)*N$23-N$12*$D$10),(N$19*N$21*N$23-N$12*$D$10)),0))-N$41-N$24)</f>
        <v>366.75</v>
      </c>
      <c r="O68" s="323">
        <f ca="1">D$9*D68+MAX(CHOOSE(W$15,0,(O$19*O$23-D68)*O$21,(O$19*O$23-D68)*O$21,(O$19*MAX(O$21,$D$10)*O$23-D68*$D$10),(O$19*O$21*O$23-D68*$D$10)),0)+IF(O$12&lt;0.9*O$19,MIN(SUM(O$28:O$34),3*Data!D$5),0)-SUM(O$28:O$39)-D68*D$40-O$24</f>
        <v>466.46101999999996</v>
      </c>
      <c r="P68" s="318"/>
      <c r="Q68" s="313" t="str">
        <f ca="1">IF($A68&gt;Data!D$13,0.6*Q$19*Q$21*D$22-Q$41-Q$24,"too early")</f>
        <v>too early</v>
      </c>
      <c r="R68" s="314">
        <f t="shared" ca="1" si="4"/>
        <v>456.84101999999996</v>
      </c>
      <c r="U68" s="39"/>
      <c r="V68" s="39"/>
      <c r="W68" s="39"/>
      <c r="X68" s="39"/>
      <c r="Y68" s="39"/>
      <c r="Z68" s="39"/>
      <c r="AA68" s="39"/>
      <c r="AB68" s="39"/>
    </row>
    <row r="69" spans="1:28" x14ac:dyDescent="0.2">
      <c r="A69" s="263">
        <f t="shared" si="5"/>
        <v>43606</v>
      </c>
      <c r="B69" s="203">
        <f ca="1">MAX(MIN((Data!C$33+Data!D$33*(A69-Data!C$20)+Data!E$33*(A69-Data!C$20)^2)/100,1),0)*C$11</f>
        <v>185</v>
      </c>
      <c r="C69" s="196">
        <v>1</v>
      </c>
      <c r="D69" s="209">
        <f ca="1">MIN(1,MAX(CHOOSE(V$14,Data!C$27,Data!C$28,Data!C$29)+CHOOSE(V$14,Data!D$27,Data!D$28,Data!D$29)*(A69-Data!D$20)-CHOOSE(V$14,Data!E$27,Data!E$28,Data!E$29)*((A69-Data!D$20)^2),0))*D$11</f>
        <v>59.52</v>
      </c>
      <c r="E69" s="197">
        <v>1</v>
      </c>
      <c r="F69" s="315">
        <f ca="1">F$43+IF($F$12&lt;0.9*$F$19,IF(A69&lt;Data!$C$13+11,0,MAX(CHOOSE(V$15,0,(F$19*F$23-F$12)*F$21,(F$19*F$23-F$12)*F$21,(F$19*MAX(F$21,C$10)*F$23-F$12*$C$10),(F$19*F$21*F$23-F$12*$C$10)),0))-F$41-F$24)</f>
        <v>415.25</v>
      </c>
      <c r="G69" s="316">
        <f ca="1">C$9*B69+MAX(CHOOSE(V$15,0,(G$19*G$23-B69)*G$21,(G$19*G$23-B69)*G$21,(G$19*G$21*G$23-B69*$C$10),(G$19*G$21*G$23-B69*$C$10)),0)+IF(G$12&lt;0.9*G$19,MIN(SUM(G$28:G$34),8*Data!C$6),0)-SUM(G$28:G$39)-C$40*B69-G$24</f>
        <v>552</v>
      </c>
      <c r="H69" s="317">
        <f t="shared" ca="1" si="2"/>
        <v>392.70400000000006</v>
      </c>
      <c r="I69" s="318"/>
      <c r="J69" s="319" t="str">
        <f ca="1">IF($A69&gt;Data!C$13,0.55*J$19*J$21*C$22-J$41-J$24,"too early")</f>
        <v>too early</v>
      </c>
      <c r="K69" s="320">
        <f t="shared" ca="1" si="3"/>
        <v>520</v>
      </c>
      <c r="L69" s="314">
        <f ca="1">D69*D$9+IF(A69&gt;Data!C$13+25,0.55*J$19*J$21*C$22*0.35+0.35*C$24,0)+IF(L$35&gt;0,MAX(CHOOSE($W$15,0,(L$19*D$22*E69-D69)*L$21,(L$19*D$22*E69-D69)*L$21,(L$19*MAX(L$21,$D$10)*D$22*E69-D69*$D$10),(L$19*L$21*D$22*E69-D69*$D$10)),0),0)-SUM(L$28:L$39)-D69*D$40-L$24</f>
        <v>438.70400000000006</v>
      </c>
      <c r="M69" s="321"/>
      <c r="N69" s="322">
        <f ca="1">N$43+IF($N$12&lt;0.9*$N$19,IF($A69&lt;Data!$D$13+11,0,MAX(CHOOSE(W$15,0,(N$19*N$23-N$12)*N$21*(N$19*N$23-N$12)*N$21,(N$19*MAX(N$21,D$10)*N$23-N$12*$D$10),(N$19*N$21*N$23-N$12*$D$10)),0))-N$41-N$24)</f>
        <v>366.75</v>
      </c>
      <c r="O69" s="323">
        <f ca="1">D$9*D69+MAX(CHOOSE(W$15,0,(O$19*O$23-D69)*O$21,(O$19*O$23-D69)*O$21,(O$19*MAX(O$21,$D$10)*O$23-D69*$D$10),(O$19*O$21*O$23-D69*$D$10)),0)+IF(O$12&lt;0.9*O$19,MIN(SUM(O$28:O$34),3*Data!D$5),0)-SUM(O$28:O$39)-D69*D$40-O$24</f>
        <v>482.32400000000007</v>
      </c>
      <c r="P69" s="318"/>
      <c r="Q69" s="313" t="str">
        <f ca="1">IF($A69&gt;Data!D$13,0.6*Q$19*Q$21*D$22-Q$41-Q$24,"too early")</f>
        <v>too early</v>
      </c>
      <c r="R69" s="314">
        <f t="shared" ca="1" si="4"/>
        <v>472.70400000000006</v>
      </c>
      <c r="U69" s="39"/>
      <c r="V69" s="39"/>
      <c r="W69" s="39"/>
      <c r="X69" s="39"/>
      <c r="Y69" s="39"/>
      <c r="Z69" s="39"/>
      <c r="AA69" s="39"/>
      <c r="AB69" s="39"/>
    </row>
    <row r="70" spans="1:28" x14ac:dyDescent="0.2">
      <c r="A70" s="263">
        <f t="shared" si="5"/>
        <v>43613</v>
      </c>
      <c r="B70" s="203">
        <f ca="1">MAX(MIN((Data!C$33+Data!D$33*(A70-Data!C$20)+Data!E$33*(A70-Data!C$20)^2)/100,1),0)*C$11</f>
        <v>185</v>
      </c>
      <c r="C70" s="196">
        <v>1</v>
      </c>
      <c r="D70" s="209">
        <f ca="1">MIN(1,MAX(CHOOSE(V$14,Data!C$27,Data!C$28,Data!C$29)+CHOOSE(V$14,Data!D$27,Data!D$28,Data!D$29)*(A70-Data!D$20)-CHOOSE(V$14,Data!E$27,Data!E$28,Data!E$29)*((A70-Data!D$20)^2),0))*D$11</f>
        <v>60</v>
      </c>
      <c r="E70" s="197">
        <v>1</v>
      </c>
      <c r="F70" s="315">
        <f ca="1">F$43+IF($F$12&lt;0.9*$F$19,IF(A70&lt;Data!$C$13+11,0,MAX(CHOOSE(V$15,0,(F$19*F$23-F$12)*F$21,(F$19*F$23-F$12)*F$21,(F$19*MAX(F$21,C$10)*F$23-F$12*$C$10),(F$19*F$21*F$23-F$12*$C$10)),0))-F$41-F$24)</f>
        <v>415.25</v>
      </c>
      <c r="G70" s="316">
        <f ca="1">C$9*B70+MAX(CHOOSE(V$15,0,(G$19*G$23-B70)*G$21,(G$19*G$23-B70)*G$21,(G$19*G$21*G$23-B70*$C$10),(G$19*G$21*G$23-B70*$C$10)),0)+IF(G$12&lt;0.9*G$19,MIN(SUM(G$28:G$34),8*Data!C$6),0)-SUM(G$28:G$39)-C$40*B70-G$24</f>
        <v>552</v>
      </c>
      <c r="H70" s="317">
        <f t="shared" ca="1" si="2"/>
        <v>397</v>
      </c>
      <c r="I70" s="318"/>
      <c r="J70" s="319" t="str">
        <f ca="1">IF($A70&gt;Data!C$13,0.55*J$19*J$21*C$22-J$41-J$24,"too early")</f>
        <v>too early</v>
      </c>
      <c r="K70" s="320">
        <f t="shared" ca="1" si="3"/>
        <v>520</v>
      </c>
      <c r="L70" s="314">
        <f ca="1">D70*D$9+IF(A70&gt;Data!C$13+25,0.55*J$19*J$21*C$22*0.35+0.35*C$24,0)+IF(L$35&gt;0,MAX(CHOOSE($W$15,0,(L$19*D$22*E70-D70)*L$21,(L$19*D$22*E70-D70)*L$21,(L$19*MAX(L$21,$D$10)*D$22*E70-D70*$D$10),(L$19*L$21*D$22*E70-D70*$D$10)),0),0)-SUM(L$28:L$39)-D70*D$40-L$24</f>
        <v>443</v>
      </c>
      <c r="M70" s="321"/>
      <c r="N70" s="322">
        <f ca="1">N$43+IF($N$12&lt;0.9*$N$19,IF($A70&lt;Data!$D$13+11,0,MAX(CHOOSE(W$15,0,(N$19*N$23-N$12)*N$21*(N$19*N$23-N$12)*N$21,(N$19*MAX(N$21,D$10)*N$23-N$12*$D$10),(N$19*N$21*N$23-N$12*$D$10)),0))-N$41-N$24)</f>
        <v>366.75</v>
      </c>
      <c r="O70" s="323">
        <f ca="1">D$9*D70+MAX(CHOOSE(W$15,0,(O$19*O$23-D70)*O$21,(O$19*O$23-D70)*O$21,(O$19*MAX(O$21,$D$10)*O$23-D70*$D$10),(O$19*O$21*O$23-D70*$D$10)),0)+IF(O$12&lt;0.9*O$19,MIN(SUM(O$28:O$34),3*Data!D$5),0)-SUM(O$28:O$39)-D70*D$40-O$24</f>
        <v>486.62</v>
      </c>
      <c r="P70" s="318"/>
      <c r="Q70" s="313" t="str">
        <f ca="1">IF($A70&gt;Data!D$13,0.6*Q$19*Q$21*D$22-Q$41-Q$24,"too early")</f>
        <v>too early</v>
      </c>
      <c r="R70" s="314">
        <f t="shared" ca="1" si="4"/>
        <v>477</v>
      </c>
      <c r="U70" s="39"/>
      <c r="V70" s="39"/>
      <c r="W70" s="39"/>
      <c r="X70" s="39"/>
      <c r="Y70" s="39"/>
      <c r="Z70" s="39"/>
      <c r="AA70" s="39"/>
      <c r="AB70" s="39"/>
    </row>
    <row r="71" spans="1:28" x14ac:dyDescent="0.2">
      <c r="A71" s="263">
        <f t="shared" si="5"/>
        <v>43620</v>
      </c>
      <c r="B71" s="203">
        <f ca="1">MAX(MIN((Data!C$33+Data!D$33*(A71-Data!C$20)+Data!E$33*(A71-Data!C$20)^2)/100,1),0)*C$11</f>
        <v>172.79748509999999</v>
      </c>
      <c r="C71" s="196">
        <v>0.96</v>
      </c>
      <c r="D71" s="209">
        <f ca="1">MIN(1,MAX(CHOOSE(V$14,Data!C$27,Data!C$28,Data!C$29)+CHOOSE(V$14,Data!D$27,Data!D$28,Data!D$29)*(A71-Data!D$20)-CHOOSE(V$14,Data!E$27,Data!E$28,Data!E$29)*((A71-Data!D$20)^2),0))*D$11</f>
        <v>60</v>
      </c>
      <c r="E71" s="197">
        <v>1</v>
      </c>
      <c r="F71" s="315">
        <f ca="1">F$43+IF($F$12&lt;0.9*$F$19,IF(A71&lt;Data!$C$13+11,0,MAX(CHOOSE(V$15,0,(F$19*F$23-F$12)*F$21,(F$19*F$23-F$12)*F$21,(F$19*MAX(F$21,C$10)*F$23-F$12*$C$10),(F$19*F$21*F$23-F$12*$C$10)),0))-F$41-F$24)</f>
        <v>415.25</v>
      </c>
      <c r="G71" s="316">
        <f ca="1">C$9*B71+MAX(CHOOSE(V$15,0,(G$19*G$23-B71)*G$21,(G$19*G$23-B71)*G$21,(G$19*G$21*G$23-B71*$C$10),(G$19*G$21*G$23-B71*$C$10)),0)+IF(G$12&lt;0.9*G$19,MIN(SUM(G$28:G$34),8*Data!C$6),0)-SUM(G$28:G$39)-C$40*B71-G$24</f>
        <v>512.95195232000003</v>
      </c>
      <c r="H71" s="317">
        <f t="shared" ca="1" si="2"/>
        <v>397</v>
      </c>
      <c r="I71" s="318"/>
      <c r="J71" s="319">
        <f ca="1">IF($A71&gt;Data!C$13,0.55*J$19*J$21*C$22-J$41-J$24,"too early")</f>
        <v>306.60000000000002</v>
      </c>
      <c r="K71" s="320">
        <f t="shared" ca="1" si="3"/>
        <v>480.95195232000003</v>
      </c>
      <c r="L71" s="314">
        <f ca="1">D71*D$9+IF(A71&gt;Data!C$13+25,0.55*J$19*J$21*C$22*0.35+0.35*C$24,0)+IF(L$35&gt;0,MAX(CHOOSE($W$15,0,(L$19*D$22*E71-D71)*L$21,(L$19*D$22*E71-D71)*L$21,(L$19*MAX(L$21,$D$10)*D$22*E71-D71*$D$10),(L$19*L$21*D$22*E71-D71*$D$10)),0),0)-SUM(L$28:L$39)-D71*D$40-L$24</f>
        <v>443</v>
      </c>
      <c r="M71" s="321"/>
      <c r="N71" s="322">
        <f ca="1">N$43+IF($N$12&lt;0.9*$N$19,IF($A71&lt;Data!$D$13+11,0,MAX(CHOOSE(W$15,0,(N$19*N$23-N$12)*N$21*(N$19*N$23-N$12)*N$21,(N$19*MAX(N$21,D$10)*N$23-N$12*$D$10),(N$19*N$21*N$23-N$12*$D$10)),0))-N$41-N$24)</f>
        <v>366.75</v>
      </c>
      <c r="O71" s="323">
        <f ca="1">D$9*D71+MAX(CHOOSE(W$15,0,(O$19*O$23-D71)*O$21,(O$19*O$23-D71)*O$21,(O$19*MAX(O$21,$D$10)*O$23-D71*$D$10),(O$19*O$21*O$23-D71*$D$10)),0)+IF(O$12&lt;0.9*O$19,MIN(SUM(O$28:O$34),3*Data!D$5),0)-SUM(O$28:O$39)-D71*D$40-O$24</f>
        <v>486.62</v>
      </c>
      <c r="P71" s="318"/>
      <c r="Q71" s="313" t="str">
        <f ca="1">IF($A71&gt;Data!D$13,0.6*Q$19*Q$21*D$22-Q$41-Q$24,"too early")</f>
        <v>too early</v>
      </c>
      <c r="R71" s="314">
        <f t="shared" ca="1" si="4"/>
        <v>477</v>
      </c>
      <c r="U71" s="39"/>
      <c r="V71" s="39"/>
      <c r="W71" s="39"/>
      <c r="X71" s="39"/>
      <c r="Y71" s="39"/>
      <c r="Z71" s="39"/>
      <c r="AA71" s="39"/>
      <c r="AB71" s="39"/>
    </row>
    <row r="72" spans="1:28" x14ac:dyDescent="0.2">
      <c r="A72" s="263">
        <f t="shared" si="5"/>
        <v>43627</v>
      </c>
      <c r="B72" s="203">
        <f ca="1">MAX(MIN((Data!C$33+Data!D$33*(A72-Data!C$20)+Data!E$33*(A72-Data!C$20)^2)/100,1),0)*C$11</f>
        <v>157.26886814999997</v>
      </c>
      <c r="C72" s="196">
        <v>0.89</v>
      </c>
      <c r="D72" s="209">
        <f ca="1">MIN(1,MAX(CHOOSE(V$14,Data!C$27,Data!C$28,Data!C$29)+CHOOSE(V$14,Data!D$27,Data!D$28,Data!D$29)*(A72-Data!D$20)-CHOOSE(V$14,Data!E$27,Data!E$28,Data!E$29)*((A72-Data!D$20)^2),0))*D$11</f>
        <v>59.192399999999985</v>
      </c>
      <c r="E72" s="197">
        <v>1</v>
      </c>
      <c r="F72" s="315">
        <f ca="1">F$43+IF($F$12&lt;0.9*$F$19,IF(A72&lt;Data!$C$13+11,0,MAX(CHOOSE(V$15,0,(F$19*F$23-F$12)*F$21,(F$19*F$23-F$12)*F$21,(F$19*MAX(F$21,C$10)*F$23-F$12*$C$10),(F$19*F$21*F$23-F$12*$C$10)),0))-F$41-F$24)</f>
        <v>476.25</v>
      </c>
      <c r="G72" s="316">
        <f ca="1">C$9*B72+MAX(CHOOSE(V$15,0,(G$19*G$23-B72)*G$21,(G$19*G$23-B72)*G$21,(G$19*G$21*G$23-B72*$C$10),(G$19*G$21*G$23-B72*$C$10)),0)+IF(G$12&lt;0.9*G$19,MIN(SUM(G$28:G$34),8*Data!C$6),0)-SUM(G$28:G$39)-C$40*B72-G$24</f>
        <v>477.63867911000006</v>
      </c>
      <c r="H72" s="317">
        <f t="shared" ca="1" si="2"/>
        <v>389.77197999999987</v>
      </c>
      <c r="I72" s="318"/>
      <c r="J72" s="319">
        <f ca="1">IF($A72&gt;Data!C$13,0.55*J$19*J$21*C$22-J$41-J$24,"too early")</f>
        <v>306.60000000000002</v>
      </c>
      <c r="K72" s="320">
        <f t="shared" ca="1" si="3"/>
        <v>431.26037807999995</v>
      </c>
      <c r="L72" s="314">
        <f ca="1">D72*D$9+IF(A72&gt;Data!C$13+25,0.55*J$19*J$21*C$22*0.35+0.35*C$24,0)+IF(L$35&gt;0,MAX(CHOOSE($W$15,0,(L$19*D$22*E72-D72)*L$21,(L$19*D$22*E72-D72)*L$21,(L$19*MAX(L$21,$D$10)*D$22*E72-D72*$D$10),(L$19*L$21*D$22*E72-D72*$D$10)),0),0)-SUM(L$28:L$39)-D72*D$40-L$24</f>
        <v>435.77197999999987</v>
      </c>
      <c r="M72" s="321"/>
      <c r="N72" s="322">
        <f ca="1">N$43+IF($N$12&lt;0.9*$N$19,IF($A72&lt;Data!$D$13+11,0,MAX(CHOOSE(W$15,0,(N$19*N$23-N$12)*N$21*(N$19*N$23-N$12)*N$21,(N$19*MAX(N$21,D$10)*N$23-N$12*$D$10),(N$19*N$21*N$23-N$12*$D$10)),0))-N$41-N$24)</f>
        <v>366.75</v>
      </c>
      <c r="O72" s="323">
        <f ca="1">D$9*D72+MAX(CHOOSE(W$15,0,(O$19*O$23-D72)*O$21,(O$19*O$23-D72)*O$21,(O$19*MAX(O$21,$D$10)*O$23-D72*$D$10),(O$19*O$21*O$23-D72*$D$10)),0)+IF(O$12&lt;0.9*O$19,MIN(SUM(O$28:O$34),3*Data!D$5),0)-SUM(O$28:O$39)-D72*D$40-O$24</f>
        <v>479.39197999999988</v>
      </c>
      <c r="P72" s="318"/>
      <c r="Q72" s="313" t="str">
        <f ca="1">IF($A72&gt;Data!D$13,0.6*Q$19*Q$21*D$22-Q$41-Q$24,"too early")</f>
        <v>too early</v>
      </c>
      <c r="R72" s="314">
        <f t="shared" ca="1" si="4"/>
        <v>469.77197999999987</v>
      </c>
      <c r="U72" s="39"/>
      <c r="V72" s="39"/>
      <c r="W72" s="39"/>
      <c r="X72" s="39"/>
      <c r="Y72" s="39"/>
      <c r="Z72" s="39"/>
      <c r="AA72" s="39"/>
      <c r="AB72" s="39"/>
    </row>
    <row r="73" spans="1:28" x14ac:dyDescent="0.2">
      <c r="A73" s="263">
        <f t="shared" si="5"/>
        <v>43634</v>
      </c>
      <c r="B73" s="203">
        <f ca="1">MAX(MIN((Data!C$33+Data!D$33*(A73-Data!C$20)+Data!E$33*(A73-Data!C$20)^2)/100,1),0)*C$11</f>
        <v>139.28001019999996</v>
      </c>
      <c r="C73" s="196">
        <v>0.82</v>
      </c>
      <c r="D73" s="209">
        <f ca="1">MIN(1,MAX(CHOOSE(V$14,Data!C$27,Data!C$28,Data!C$29)+CHOOSE(V$14,Data!D$27,Data!D$28,Data!D$29)*(A73-Data!D$20)-CHOOSE(V$14,Data!E$27,Data!E$28,Data!E$29)*((A73-Data!D$20)^2),0))*D$11</f>
        <v>57.201599999999999</v>
      </c>
      <c r="E73" s="197">
        <v>0.97</v>
      </c>
      <c r="F73" s="315">
        <f ca="1">F$43+IF($F$12&lt;0.9*$F$19,IF(A73&lt;Data!$C$13+11,0,MAX(CHOOSE(V$15,0,(F$19*F$23-F$12)*F$21,(F$19*F$23-F$12)*F$21,(F$19*MAX(F$21,C$10)*F$23-F$12*$C$10),(F$19*F$21*F$23-F$12*$C$10)),0))-F$41-F$24)</f>
        <v>476.25</v>
      </c>
      <c r="G73" s="316">
        <f ca="1">C$9*B73+MAX(CHOOSE(V$15,0,(G$19*G$23-B73)*G$21,(G$19*G$23-B73)*G$21,(G$19*G$21*G$23-B73*$C$10),(G$19*G$21*G$23-B73*$C$10)),0)+IF(G$12&lt;0.9*G$19,MIN(SUM(G$28:G$34),8*Data!C$6),0)-SUM(G$28:G$39)-C$40*B73-G$24</f>
        <v>488.43199387999994</v>
      </c>
      <c r="H73" s="317">
        <f t="shared" ca="1" si="2"/>
        <v>371.95432</v>
      </c>
      <c r="I73" s="318"/>
      <c r="J73" s="319">
        <f ca="1">IF($A73&gt;Data!C$13,0.55*J$19*J$21*C$22-J$41-J$24,"too early")</f>
        <v>306.60000000000002</v>
      </c>
      <c r="K73" s="320">
        <f t="shared" ca="1" si="3"/>
        <v>373.69603263999988</v>
      </c>
      <c r="L73" s="314">
        <f ca="1">D73*D$9+IF(A73&gt;Data!C$13+25,0.55*J$19*J$21*C$22*0.35+0.35*C$24,0)+IF(L$35&gt;0,MAX(CHOOSE($W$15,0,(L$19*D$22*E73-D73)*L$21,(L$19*D$22*E73-D73)*L$21,(L$19*MAX(L$21,$D$10)*D$22*E73-D73*$D$10),(L$19*L$21*D$22*E73-D73*$D$10)),0),0)-SUM(L$28:L$39)-D73*D$40-L$24</f>
        <v>417.95432</v>
      </c>
      <c r="M73" s="321"/>
      <c r="N73" s="322">
        <f ca="1">N$43+IF($N$12&lt;0.9*$N$19,IF($A73&lt;Data!$D$13+11,0,MAX(CHOOSE(W$15,0,(N$19*N$23-N$12)*N$21*(N$19*N$23-N$12)*N$21,(N$19*MAX(N$21,D$10)*N$23-N$12*$D$10),(N$19*N$21*N$23-N$12*$D$10)),0))-N$41-N$24)</f>
        <v>366.75</v>
      </c>
      <c r="O73" s="323">
        <f ca="1">D$9*D73+MAX(CHOOSE(W$15,0,(O$19*O$23-D73)*O$21,(O$19*O$23-D73)*O$21,(O$19*MAX(O$21,$D$10)*O$23-D73*$D$10),(O$19*O$21*O$23-D73*$D$10)),0)+IF(O$12&lt;0.9*O$19,MIN(SUM(O$28:O$34),3*Data!D$5),0)-SUM(O$28:O$39)-D73*D$40-O$24</f>
        <v>461.57432</v>
      </c>
      <c r="P73" s="318"/>
      <c r="Q73" s="313">
        <f ca="1">IF($A73&gt;Data!D$13,0.6*Q$19*Q$21*D$22-Q$41-Q$24,"too early")</f>
        <v>243.59699999999998</v>
      </c>
      <c r="R73" s="314">
        <f t="shared" ca="1" si="4"/>
        <v>451.95432</v>
      </c>
      <c r="U73" s="39"/>
      <c r="V73" s="39"/>
      <c r="W73" s="39"/>
      <c r="X73" s="39"/>
      <c r="Y73" s="39"/>
      <c r="Z73" s="39"/>
      <c r="AA73" s="39"/>
      <c r="AB73" s="39"/>
    </row>
    <row r="74" spans="1:28" x14ac:dyDescent="0.2">
      <c r="A74" s="263">
        <f t="shared" si="5"/>
        <v>43641</v>
      </c>
      <c r="B74" s="203">
        <f ca="1">MAX(MIN((Data!C$33+Data!D$33*(A74-Data!C$20)+Data!E$33*(A74-Data!C$20)^2)/100,1),0)*C$11</f>
        <v>118.83091125000001</v>
      </c>
      <c r="C74" s="196">
        <v>0.75</v>
      </c>
      <c r="D74" s="209">
        <f ca="1">MIN(1,MAX(CHOOSE(V$14,Data!C$27,Data!C$28,Data!C$29)+CHOOSE(V$14,Data!D$27,Data!D$28,Data!D$29)*(A74-Data!D$20)-CHOOSE(V$14,Data!E$27,Data!E$28,Data!E$29)*((A74-Data!D$20)^2),0))*D$11</f>
        <v>54.269999999999996</v>
      </c>
      <c r="E74" s="197">
        <v>0.9</v>
      </c>
      <c r="F74" s="315">
        <f ca="1">F$43+IF($F$12&lt;0.9*$F$19,IF(A74&lt;Data!$C$13+11,0,MAX(CHOOSE(V$15,0,(F$19*F$23-F$12)*F$21,(F$19*F$23-F$12)*F$21,(F$19*MAX(F$21,C$10)*F$23-F$12*$C$10),(F$19*F$21*F$23-F$12*$C$10)),0))-F$41-F$24)</f>
        <v>476.25</v>
      </c>
      <c r="G74" s="316">
        <f ca="1">C$9*B74+MAX(CHOOSE(V$15,0,(G$19*G$23-B74)*G$21,(G$19*G$23-B74)*G$21,(G$19*G$21*G$23-B74*$C$10),(G$19*G$21*G$23-B74*$C$10)),0)+IF(G$12&lt;0.9*G$19,MIN(SUM(G$28:G$34),8*Data!C$6),0)-SUM(G$28:G$39)-C$40*B74-G$24</f>
        <v>500.7014532500001</v>
      </c>
      <c r="H74" s="317">
        <f t="shared" ca="1" si="2"/>
        <v>345.71649999999994</v>
      </c>
      <c r="I74" s="318"/>
      <c r="J74" s="319">
        <f ca="1">IF($A74&gt;Data!C$13,0.55*J$19*J$21*C$22-J$41-J$24,"too early")</f>
        <v>306.60000000000002</v>
      </c>
      <c r="K74" s="320">
        <f t="shared" ca="1" si="3"/>
        <v>315.70145325000004</v>
      </c>
      <c r="L74" s="314">
        <f ca="1">D74*D$9+IF(A74&gt;Data!C$13+25,0.55*J$19*J$21*C$22*0.35+0.35*C$24,0)+IF(L$35&gt;0,MAX(CHOOSE($W$15,0,(L$19*D$22*E74-D74)*L$21,(L$19*D$22*E74-D74)*L$21,(L$19*MAX(L$21,$D$10)*D$22*E74-D74*$D$10),(L$19*L$21*D$22*E74-D74*$D$10)),0),0)-SUM(L$28:L$39)-D74*D$40-L$24</f>
        <v>391.71649999999994</v>
      </c>
      <c r="M74" s="321"/>
      <c r="N74" s="322">
        <f ca="1">N$43+IF($N$12&lt;0.9*$N$19,IF($A74&lt;Data!$D$13+11,0,MAX(CHOOSE(W$15,0,(N$19*N$23-N$12)*N$21*(N$19*N$23-N$12)*N$21,(N$19*MAX(N$21,D$10)*N$23-N$12*$D$10),(N$19*N$21*N$23-N$12*$D$10)),0))-N$41-N$24)</f>
        <v>366.75</v>
      </c>
      <c r="O74" s="323">
        <f ca="1">D$9*D74+MAX(CHOOSE(W$15,0,(O$19*O$23-D74)*O$21,(O$19*O$23-D74)*O$21,(O$19*MAX(O$21,$D$10)*O$23-D74*$D$10),(O$19*O$21*O$23-D74*$D$10)),0)+IF(O$12&lt;0.9*O$19,MIN(SUM(O$28:O$34),3*Data!D$5),0)-SUM(O$28:O$39)-D74*D$40-O$24</f>
        <v>435.33649999999994</v>
      </c>
      <c r="P74" s="318"/>
      <c r="Q74" s="313">
        <f ca="1">IF($A74&gt;Data!D$13,0.6*Q$19*Q$21*D$22-Q$41-Q$24,"too early")</f>
        <v>243.59699999999998</v>
      </c>
      <c r="R74" s="314">
        <f t="shared" ca="1" si="4"/>
        <v>425.71649999999994</v>
      </c>
      <c r="U74" s="39"/>
      <c r="V74" s="39"/>
      <c r="W74" s="39"/>
      <c r="X74" s="39"/>
      <c r="Y74" s="39"/>
      <c r="Z74" s="39"/>
      <c r="AA74" s="39"/>
      <c r="AB74" s="39"/>
    </row>
    <row r="75" spans="1:28" x14ac:dyDescent="0.2">
      <c r="A75" s="263">
        <f t="shared" si="5"/>
        <v>43648</v>
      </c>
      <c r="B75" s="203">
        <f ca="1">MAX(MIN((Data!C$33+Data!D$33*(A75-Data!C$20)+Data!E$33*(A75-Data!C$20)^2)/100,1),0)*C$11</f>
        <v>95.921571299999982</v>
      </c>
      <c r="C75" s="196">
        <v>0.55000000000000004</v>
      </c>
      <c r="D75" s="209">
        <f ca="1">MIN(1,MAX(CHOOSE(V$14,Data!C$27,Data!C$28,Data!C$29)+CHOOSE(V$14,Data!D$27,Data!D$28,Data!D$29)*(A75-Data!D$20)-CHOOSE(V$14,Data!E$27,Data!E$28,Data!E$29)*((A75-Data!D$20)^2),0))*D$11</f>
        <v>50.397599999999997</v>
      </c>
      <c r="E75" s="197">
        <v>0.83</v>
      </c>
      <c r="F75" s="315">
        <f ca="1">F$43+IF($F$12&lt;0.9*$F$19,IF(A75&lt;Data!$C$13+11,0,MAX(CHOOSE(V$15,0,(F$19*F$23-F$12)*F$21,(F$19*F$23-F$12)*F$21,(F$19*MAX(F$21,C$10)*F$23-F$12*$C$10),(F$19*F$21*F$23-F$12*$C$10)),0))-F$41-F$24)</f>
        <v>476.25</v>
      </c>
      <c r="G75" s="316">
        <f ca="1">C$9*B75+MAX(CHOOSE(V$15,0,(G$19*G$23-B75)*G$21,(G$19*G$23-B75)*G$21,(G$19*G$21*G$23-B75*$C$10),(G$19*G$21*G$23-B75*$C$10)),0)+IF(G$12&lt;0.9*G$19,MIN(SUM(G$28:G$34),8*Data!C$6),0)-SUM(G$28:G$39)-C$40*B75-G$24</f>
        <v>514.44705722000003</v>
      </c>
      <c r="H75" s="317">
        <f t="shared" ca="1" si="2"/>
        <v>311.05851999999999</v>
      </c>
      <c r="I75" s="318"/>
      <c r="J75" s="319">
        <f ca="1">IF($A75&gt;Data!C$13,0.55*J$19*J$21*C$22-J$41-J$24,"too early")</f>
        <v>306.60000000000002</v>
      </c>
      <c r="K75" s="320">
        <f t="shared" ca="1" si="3"/>
        <v>234.94902815999995</v>
      </c>
      <c r="L75" s="314">
        <f ca="1">D75*D$9+IF(A75&gt;Data!C$13+25,0.55*J$19*J$21*C$22*0.35+0.35*C$24,0)+IF(L$35&gt;0,MAX(CHOOSE($W$15,0,(L$19*D$22*E75-D75)*L$21,(L$19*D$22*E75-D75)*L$21,(L$19*MAX(L$21,$D$10)*D$22*E75-D75*$D$10),(L$19*L$21*D$22*E75-D75*$D$10)),0),0)-SUM(L$28:L$39)-D75*D$40-L$24</f>
        <v>485.36852000000005</v>
      </c>
      <c r="M75" s="321"/>
      <c r="N75" s="322">
        <f ca="1">N$43+IF($N$12&lt;0.9*$N$19,IF($A75&lt;Data!$D$13+11,0,MAX(CHOOSE(W$15,0,(N$19*N$23-N$12)*N$21*(N$19*N$23-N$12)*N$21,(N$19*MAX(N$21,D$10)*N$23-N$12*$D$10),(N$19*N$21*N$23-N$12*$D$10)),0))-N$41-N$24)</f>
        <v>385.24499999999995</v>
      </c>
      <c r="O75" s="323">
        <f ca="1">D$9*D75+MAX(CHOOSE(W$15,0,(O$19*O$23-D75)*O$21,(O$19*O$23-D75)*O$21,(O$19*MAX(O$21,$D$10)*O$23-D75*$D$10),(O$19*O$21*O$23-D75*$D$10)),0)+IF(O$12&lt;0.9*O$19,MIN(SUM(O$28:O$34),3*Data!D$5),0)-SUM(O$28:O$39)-D75*D$40-O$24</f>
        <v>400.67851999999999</v>
      </c>
      <c r="P75" s="318"/>
      <c r="Q75" s="313">
        <f ca="1">IF($A75&gt;Data!D$13,0.6*Q$19*Q$21*D$22-Q$41-Q$24,"too early")</f>
        <v>243.59699999999998</v>
      </c>
      <c r="R75" s="314">
        <f t="shared" ca="1" si="4"/>
        <v>391.05851999999999</v>
      </c>
      <c r="U75" s="39"/>
      <c r="V75" s="39"/>
      <c r="W75" s="39"/>
      <c r="X75" s="39"/>
      <c r="Y75" s="39"/>
      <c r="Z75" s="39"/>
      <c r="AA75" s="39"/>
      <c r="AB75" s="39"/>
    </row>
    <row r="76" spans="1:28" ht="13.5" thickBot="1" x14ac:dyDescent="0.25">
      <c r="A76" s="264">
        <f t="shared" si="5"/>
        <v>43655</v>
      </c>
      <c r="B76" s="265">
        <f ca="1">MAX(MIN((Data!C$33+Data!D$33*(A76-Data!C$20)+Data!E$33*(A76-Data!C$20)^2)/100,1),0)*C$11</f>
        <v>70.551990349999969</v>
      </c>
      <c r="C76" s="266">
        <v>0.55000000000000004</v>
      </c>
      <c r="D76" s="267">
        <f ca="1">MIN(1,MAX(CHOOSE(V$14,Data!C$27,Data!C$28,Data!C$29)+CHOOSE(V$14,Data!D$27,Data!D$28,Data!D$29)*(A76-Data!D$20)-CHOOSE(V$14,Data!E$27,Data!E$28,Data!E$29)*((A76-Data!D$20)^2),0))*D$11</f>
        <v>45.584399999999981</v>
      </c>
      <c r="E76" s="268">
        <v>0.76</v>
      </c>
      <c r="F76" s="324">
        <f ca="1">F$43+IF($F$12&lt;0.9*$F$19,IF(A76&lt;Data!$C$13+11,0,MAX(CHOOSE(V$15,0,(F$19*F$23-F$12)*F$21,(F$19*F$23-F$12)*F$21,(F$19*MAX(F$21,C$10)*F$23-F$12*$C$10),(F$19*F$21*F$23-F$12*$C$10)),0))-F$41-F$24)</f>
        <v>476.25</v>
      </c>
      <c r="G76" s="325">
        <f ca="1">C$9*B76+MAX(CHOOSE(V$15,0,(G$19*G$23-B76)*G$21,(G$19*G$23-B76)*G$21,(G$19*G$21*G$23-B76*$C$10),(G$19*G$21*G$23-B76*$C$10)),0)+IF(G$12&lt;0.9*G$19,MIN(SUM(G$28:G$34),8*Data!C$6),0)-SUM(G$28:G$39)-C$40*B76-G$24</f>
        <v>529.66880579000008</v>
      </c>
      <c r="H76" s="326">
        <f t="shared" ca="1" si="2"/>
        <v>267.9803799999998</v>
      </c>
      <c r="I76" s="318"/>
      <c r="J76" s="327">
        <f ca="1">IF($A76&gt;Data!C$13,0.55*J$19*J$21*C$22-J$41-J$24,"too early")</f>
        <v>306.60000000000002</v>
      </c>
      <c r="K76" s="328">
        <f t="shared" ca="1" si="3"/>
        <v>222.26880579000007</v>
      </c>
      <c r="L76" s="329">
        <f ca="1">D76*D$9+IF(A76&gt;Data!C$13+25,0.55*J$19*J$21*C$22*0.35+0.35*C$24,0)+IF(L$35&gt;0,MAX(CHOOSE($W$15,0,(L$19*D$22*E76-D76)*L$21,(L$19*D$22*E76-D76)*L$21,(L$19*MAX(L$21,$D$10)*D$22*E76-D76*$D$10),(L$19*L$21*D$22*E76-D76*$D$10)),0),0)-SUM(L$28:L$39)-D76*D$40-L$24</f>
        <v>442.2903799999998</v>
      </c>
      <c r="M76" s="321"/>
      <c r="N76" s="330">
        <f ca="1">N$43+IF($N$12&lt;0.9*$N$19,IF($A76&lt;Data!$D$13+11,0,MAX(CHOOSE(W$15,0,(N$19*N$23-N$12)*N$21*(N$19*N$23-N$12)*N$21,(N$19*MAX(N$21,D$10)*N$23-N$12*$D$10),(N$19*N$21*N$23-N$12*$D$10)),0))-N$41-N$24)</f>
        <v>385.24499999999995</v>
      </c>
      <c r="O76" s="331">
        <f ca="1">D$9*D76+MAX(CHOOSE(W$15,0,(O$19*O$23-D76)*O$21,(O$19*O$23-D76)*O$21,(O$19*MAX(O$21,$D$10)*O$23-D76*$D$10),(O$19*O$21*O$23-D76*$D$10)),0)+IF(O$12&lt;0.9*O$19,MIN(SUM(O$28:O$34),3*Data!D$5),0)-SUM(O$28:O$39)-D76*D$40-O$24</f>
        <v>370.54357999999991</v>
      </c>
      <c r="P76" s="318"/>
      <c r="Q76" s="332">
        <f ca="1">IF($A76&gt;Data!D$13,0.6*Q$19*Q$21*D$22-Q$41-Q$24,"too early")</f>
        <v>243.59699999999998</v>
      </c>
      <c r="R76" s="329">
        <f t="shared" ca="1" si="4"/>
        <v>347.9803799999998</v>
      </c>
      <c r="U76" s="39"/>
      <c r="V76" s="39"/>
      <c r="W76" s="39"/>
      <c r="X76" s="39"/>
      <c r="Y76" s="39"/>
      <c r="Z76" s="39"/>
      <c r="AA76" s="39"/>
      <c r="AB76" s="39"/>
    </row>
    <row r="77" spans="1:28" x14ac:dyDescent="0.2">
      <c r="A77" s="198"/>
      <c r="B77" s="198"/>
      <c r="G77" s="93"/>
      <c r="H77" s="93"/>
      <c r="I77" s="93"/>
      <c r="J77" s="93"/>
      <c r="K77" s="93"/>
      <c r="U77" s="39"/>
      <c r="V77" s="39"/>
      <c r="W77" s="39"/>
      <c r="X77" s="39"/>
      <c r="Y77" s="39"/>
      <c r="Z77" s="39"/>
      <c r="AA77" s="39"/>
      <c r="AB77" s="39"/>
    </row>
  </sheetData>
  <sheetProtection sheet="1" objects="1" scenarios="1"/>
  <mergeCells count="64">
    <mergeCell ref="R9:R10"/>
    <mergeCell ref="A10:B10"/>
    <mergeCell ref="A3:F3"/>
    <mergeCell ref="A5:C5"/>
    <mergeCell ref="A6:B6"/>
    <mergeCell ref="F7:H7"/>
    <mergeCell ref="F8:H8"/>
    <mergeCell ref="J7:L7"/>
    <mergeCell ref="J8:L8"/>
    <mergeCell ref="N7:O7"/>
    <mergeCell ref="N8:O8"/>
    <mergeCell ref="Q7:R7"/>
    <mergeCell ref="Q8:R8"/>
    <mergeCell ref="K9:K10"/>
    <mergeCell ref="L9:L10"/>
    <mergeCell ref="N9:N10"/>
    <mergeCell ref="O9:O10"/>
    <mergeCell ref="Q9:Q10"/>
    <mergeCell ref="A9:B9"/>
    <mergeCell ref="F9:F10"/>
    <mergeCell ref="G9:G10"/>
    <mergeCell ref="H9:H10"/>
    <mergeCell ref="J9:J10"/>
    <mergeCell ref="A11:B11"/>
    <mergeCell ref="A12:B12"/>
    <mergeCell ref="A13:B13"/>
    <mergeCell ref="A14:B14"/>
    <mergeCell ref="A15:B15"/>
    <mergeCell ref="J15:J17"/>
    <mergeCell ref="Q15:Q17"/>
    <mergeCell ref="A16:B16"/>
    <mergeCell ref="O25:O26"/>
    <mergeCell ref="A26:B26"/>
    <mergeCell ref="A18:B18"/>
    <mergeCell ref="A19:B19"/>
    <mergeCell ref="A21:B21"/>
    <mergeCell ref="A22:B22"/>
    <mergeCell ref="A23:B23"/>
    <mergeCell ref="A24:B24"/>
    <mergeCell ref="Q62:Q63"/>
    <mergeCell ref="A57:N58"/>
    <mergeCell ref="F25:F26"/>
    <mergeCell ref="G25:G26"/>
    <mergeCell ref="H25:H26"/>
    <mergeCell ref="N25:N26"/>
    <mergeCell ref="F27:H27"/>
    <mergeCell ref="J27:L27"/>
    <mergeCell ref="N27:O27"/>
    <mergeCell ref="R62:R63"/>
    <mergeCell ref="Q27:R27"/>
    <mergeCell ref="A54:C54"/>
    <mergeCell ref="F62:F63"/>
    <mergeCell ref="G62:G63"/>
    <mergeCell ref="H62:H63"/>
    <mergeCell ref="J62:J63"/>
    <mergeCell ref="K62:K63"/>
    <mergeCell ref="A59:R59"/>
    <mergeCell ref="F61:H61"/>
    <mergeCell ref="J61:L61"/>
    <mergeCell ref="N61:O61"/>
    <mergeCell ref="Q61:R61"/>
    <mergeCell ref="L62:L63"/>
    <mergeCell ref="N62:N63"/>
    <mergeCell ref="O62:O63"/>
  </mergeCells>
  <conditionalFormatting sqref="C20">
    <cfRule type="expression" dxfId="3" priority="2">
      <formula>$V$15=3</formula>
    </cfRule>
  </conditionalFormatting>
  <conditionalFormatting sqref="D20">
    <cfRule type="expression" dxfId="2" priority="1">
      <formula>$W$15=3</formula>
    </cfRule>
  </conditionalFormatting>
  <dataValidations count="3">
    <dataValidation type="list" allowBlank="1" showInputMessage="1" showErrorMessage="1" sqref="C18:D18" xr:uid="{00000000-0002-0000-0000-000000000000}">
      <formula1>Types</formula1>
    </dataValidation>
    <dataValidation type="list" allowBlank="1" showErrorMessage="1" sqref="D13" xr:uid="{00000000-0002-0000-0000-000001000000}">
      <formula1>zones</formula1>
    </dataValidation>
    <dataValidation allowBlank="1" showInputMessage="1" showErrorMessage="1" prompt="The futures price is used to estimate crop revenue insurance payments." sqref="C10:D10" xr:uid="{00000000-0002-0000-0000-000002000000}"/>
  </dataValidations>
  <hyperlinks>
    <hyperlink ref="A3" r:id="rId1" xr:uid="{00000000-0004-0000-0000-000000000000}"/>
    <hyperlink ref="A3:C3" r:id="rId2" display="Estimating the Field Capacity of Farm Machines" xr:uid="{00000000-0004-0000-0000-000001000000}"/>
    <hyperlink ref="A52" r:id="rId3" xr:uid="{00000000-0004-0000-0000-000002000000}"/>
    <hyperlink ref="A3:F3" r:id="rId4" display="See Ag Decision Maker file A1-57 &quot;Delayed and Prevented Planting Provisions&quot; for more information." xr:uid="{00000000-0004-0000-0000-000003000000}"/>
  </hyperlinks>
  <pageMargins left="0.45" right="0.51" top="0.6" bottom="0.5" header="0.5" footer="0.5"/>
  <pageSetup scale="53" orientation="landscape" r:id="rId5"/>
  <headerFooter alignWithMargins="0">
    <oddHeader>&amp;LIowa State University Extension and Outreach &amp;RAg Decision Maker File A1-57</oddHeader>
    <oddFooter>&amp;Lhttp://www.extension.iastate.edu/agdm/crops/xls/a1-57delayedplantingevaluator.xlsx&amp;R&amp;A</oddFooter>
  </headerFooter>
  <drawing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77"/>
  <sheetViews>
    <sheetView showGridLines="0" zoomScale="80" zoomScaleNormal="80" workbookViewId="0">
      <pane xSplit="4" ySplit="10" topLeftCell="E11" activePane="bottomRight" state="frozen"/>
      <selection pane="topRight" activeCell="E1" sqref="E1"/>
      <selection pane="bottomLeft" activeCell="A11" sqref="A11"/>
      <selection pane="bottomRight"/>
    </sheetView>
  </sheetViews>
  <sheetFormatPr defaultColWidth="9" defaultRowHeight="12.75" x14ac:dyDescent="0.2"/>
  <cols>
    <col min="1" max="1" width="40.7109375" style="39" customWidth="1"/>
    <col min="2" max="2" width="15.7109375" style="39" customWidth="1"/>
    <col min="3" max="4" width="14.7109375" style="39" customWidth="1"/>
    <col min="5" max="5" width="10.140625" style="39" bestFit="1" customWidth="1"/>
    <col min="6" max="8" width="14.7109375" style="39" customWidth="1"/>
    <col min="9" max="9" width="1.7109375" style="39" customWidth="1"/>
    <col min="10" max="12" width="14.7109375" style="39" customWidth="1"/>
    <col min="13" max="13" width="1.7109375" style="39" customWidth="1"/>
    <col min="14" max="15" width="16" style="39" customWidth="1"/>
    <col min="16" max="16" width="1.7109375" style="39" customWidth="1"/>
    <col min="17" max="18" width="15.28515625" style="39" customWidth="1"/>
    <col min="19" max="20" width="9" style="39"/>
    <col min="21" max="28" width="9" style="200"/>
    <col min="29" max="16384" width="9" style="39"/>
  </cols>
  <sheetData>
    <row r="1" spans="1:31" s="99" customFormat="1" ht="18.75" thickBot="1" x14ac:dyDescent="0.3">
      <c r="A1" s="99" t="s">
        <v>35</v>
      </c>
      <c r="S1" s="199"/>
      <c r="T1" s="199"/>
      <c r="U1" s="199"/>
      <c r="V1" s="199"/>
      <c r="W1" s="199"/>
      <c r="X1" s="199"/>
      <c r="Y1" s="199"/>
      <c r="Z1" s="199"/>
      <c r="AA1" s="199"/>
      <c r="AB1" s="199"/>
      <c r="AC1" s="199"/>
    </row>
    <row r="2" spans="1:31" ht="15.75" thickTop="1" x14ac:dyDescent="0.25">
      <c r="A2" s="37" t="s">
        <v>68</v>
      </c>
      <c r="B2" s="37"/>
      <c r="C2" s="38"/>
      <c r="S2" s="200"/>
      <c r="T2" s="200"/>
      <c r="AC2" s="200"/>
    </row>
    <row r="3" spans="1:31" ht="12.75" customHeight="1" x14ac:dyDescent="0.2">
      <c r="A3" s="378" t="s">
        <v>69</v>
      </c>
      <c r="B3" s="378"/>
      <c r="C3" s="378"/>
      <c r="D3" s="378"/>
      <c r="E3" s="378"/>
      <c r="F3" s="378"/>
      <c r="G3" s="40"/>
      <c r="H3" s="40"/>
      <c r="M3" s="40"/>
      <c r="N3" s="40"/>
      <c r="S3" s="200"/>
      <c r="T3" s="200"/>
      <c r="X3" s="206"/>
      <c r="AC3" s="200"/>
    </row>
    <row r="4" spans="1:31" x14ac:dyDescent="0.2">
      <c r="S4" s="200"/>
      <c r="T4" s="200"/>
      <c r="V4" s="82" t="str">
        <f>Data!B27</f>
        <v>Northern</v>
      </c>
      <c r="W4" s="82" t="str">
        <f>Data!B3</f>
        <v>None, ARPI</v>
      </c>
      <c r="X4" s="206"/>
      <c r="Y4" s="206"/>
      <c r="Z4" s="206"/>
      <c r="AA4" s="206"/>
      <c r="AB4" s="206"/>
      <c r="AC4" s="200"/>
    </row>
    <row r="5" spans="1:31" x14ac:dyDescent="0.2">
      <c r="A5" s="379" t="s">
        <v>45</v>
      </c>
      <c r="B5" s="379"/>
      <c r="C5" s="379"/>
      <c r="D5" s="41"/>
      <c r="E5" s="41"/>
      <c r="F5" s="41"/>
      <c r="G5" s="41"/>
      <c r="S5" s="200"/>
      <c r="T5" s="200"/>
      <c r="V5" s="82" t="str">
        <f>Data!B28</f>
        <v>Central</v>
      </c>
      <c r="W5" s="82" t="str">
        <f>Data!B4</f>
        <v>Catastrophic</v>
      </c>
      <c r="X5" s="206"/>
      <c r="Y5" s="206"/>
      <c r="Z5" s="206"/>
      <c r="AA5" s="206"/>
      <c r="AB5" s="206"/>
      <c r="AC5" s="200"/>
    </row>
    <row r="6" spans="1:31" ht="13.5" thickBot="1" x14ac:dyDescent="0.25">
      <c r="A6" s="380" t="s">
        <v>46</v>
      </c>
      <c r="B6" s="381"/>
      <c r="C6" s="43"/>
      <c r="D6" s="43"/>
      <c r="S6" s="200"/>
      <c r="T6" s="200"/>
      <c r="V6" s="82" t="str">
        <f>Data!B29</f>
        <v>Southern</v>
      </c>
      <c r="W6" s="82" t="str">
        <f>Data!B5</f>
        <v>Yield Protection</v>
      </c>
      <c r="X6" s="206"/>
      <c r="Y6" s="206"/>
      <c r="Z6" s="206"/>
      <c r="AA6" s="206"/>
      <c r="AB6" s="206"/>
      <c r="AC6" s="200"/>
    </row>
    <row r="7" spans="1:31" ht="15.75" thickBot="1" x14ac:dyDescent="0.3">
      <c r="A7" s="42"/>
      <c r="B7" s="42"/>
      <c r="C7" s="42"/>
      <c r="D7" s="42"/>
      <c r="F7" s="382" t="s">
        <v>104</v>
      </c>
      <c r="G7" s="383"/>
      <c r="H7" s="384"/>
      <c r="I7" s="304"/>
      <c r="J7" s="382" t="s">
        <v>110</v>
      </c>
      <c r="K7" s="383"/>
      <c r="L7" s="384"/>
      <c r="M7" s="304"/>
      <c r="N7" s="382" t="s">
        <v>104</v>
      </c>
      <c r="O7" s="384"/>
      <c r="P7" s="304"/>
      <c r="Q7" s="382" t="s">
        <v>108</v>
      </c>
      <c r="R7" s="384"/>
      <c r="S7" s="200"/>
      <c r="T7" s="200"/>
      <c r="V7" s="82"/>
      <c r="W7" s="82" t="str">
        <f>Data!B6</f>
        <v>Revenue Prot.</v>
      </c>
      <c r="X7" s="206"/>
      <c r="Y7" s="206"/>
      <c r="Z7" s="206"/>
      <c r="AA7" s="206"/>
      <c r="AB7" s="206"/>
      <c r="AC7" s="200"/>
    </row>
    <row r="8" spans="1:31" s="29" customFormat="1" ht="15.75" thickBot="1" x14ac:dyDescent="0.3">
      <c r="A8" s="31"/>
      <c r="B8" s="71"/>
      <c r="C8" s="296" t="s">
        <v>0</v>
      </c>
      <c r="D8" s="294" t="s">
        <v>1</v>
      </c>
      <c r="E8" s="30"/>
      <c r="F8" s="385" t="s">
        <v>105</v>
      </c>
      <c r="G8" s="386"/>
      <c r="H8" s="387"/>
      <c r="I8" s="100"/>
      <c r="J8" s="385" t="s">
        <v>106</v>
      </c>
      <c r="K8" s="386"/>
      <c r="L8" s="387"/>
      <c r="M8" s="101"/>
      <c r="N8" s="385" t="s">
        <v>107</v>
      </c>
      <c r="O8" s="387"/>
      <c r="P8" s="101"/>
      <c r="Q8" s="385" t="s">
        <v>109</v>
      </c>
      <c r="R8" s="387"/>
      <c r="S8" s="248"/>
      <c r="T8" s="201"/>
      <c r="U8" s="201"/>
      <c r="V8" s="298"/>
      <c r="W8" s="82" t="str">
        <f>Data!B7</f>
        <v>Rev. Prot. HPE</v>
      </c>
      <c r="X8" s="297"/>
      <c r="Y8" s="297"/>
      <c r="Z8" s="302"/>
      <c r="AA8" s="303"/>
      <c r="AB8" s="297"/>
      <c r="AC8" s="249"/>
      <c r="AE8" s="52"/>
    </row>
    <row r="9" spans="1:31" x14ac:dyDescent="0.2">
      <c r="A9" s="372" t="s">
        <v>14</v>
      </c>
      <c r="B9" s="373"/>
      <c r="C9" s="102">
        <v>3.5</v>
      </c>
      <c r="D9" s="103">
        <v>9</v>
      </c>
      <c r="E9" s="45"/>
      <c r="F9" s="375" t="s">
        <v>111</v>
      </c>
      <c r="G9" s="376" t="s">
        <v>39</v>
      </c>
      <c r="H9" s="374" t="s">
        <v>112</v>
      </c>
      <c r="I9" s="312"/>
      <c r="J9" s="375" t="s">
        <v>113</v>
      </c>
      <c r="K9" s="388" t="s">
        <v>10</v>
      </c>
      <c r="L9" s="374" t="s">
        <v>114</v>
      </c>
      <c r="M9" s="191"/>
      <c r="N9" s="375" t="s">
        <v>115</v>
      </c>
      <c r="O9" s="374" t="s">
        <v>116</v>
      </c>
      <c r="P9" s="191"/>
      <c r="Q9" s="375" t="s">
        <v>113</v>
      </c>
      <c r="R9" s="377" t="s">
        <v>10</v>
      </c>
      <c r="S9" s="200"/>
      <c r="T9" s="200"/>
      <c r="V9" s="206"/>
      <c r="W9" s="206"/>
      <c r="X9" s="206"/>
      <c r="Y9" s="206"/>
      <c r="Z9" s="206"/>
      <c r="AA9" s="206"/>
      <c r="AB9" s="206"/>
      <c r="AC9" s="200"/>
    </row>
    <row r="10" spans="1:31" x14ac:dyDescent="0.2">
      <c r="A10" s="372" t="s">
        <v>56</v>
      </c>
      <c r="B10" s="373"/>
      <c r="C10" s="102">
        <v>3.8</v>
      </c>
      <c r="D10" s="103">
        <v>9.5</v>
      </c>
      <c r="E10" s="45"/>
      <c r="F10" s="375"/>
      <c r="G10" s="376"/>
      <c r="H10" s="374"/>
      <c r="I10" s="312"/>
      <c r="J10" s="375"/>
      <c r="K10" s="388"/>
      <c r="L10" s="374"/>
      <c r="M10" s="191"/>
      <c r="N10" s="375"/>
      <c r="O10" s="374"/>
      <c r="P10" s="191"/>
      <c r="Q10" s="375"/>
      <c r="R10" s="377"/>
      <c r="S10" s="200"/>
      <c r="T10" s="200"/>
      <c r="Y10" s="206"/>
      <c r="Z10" s="206"/>
      <c r="AA10" s="206"/>
      <c r="AB10" s="206"/>
      <c r="AC10" s="200"/>
    </row>
    <row r="11" spans="1:31" x14ac:dyDescent="0.2">
      <c r="A11" s="368" t="s">
        <v>96</v>
      </c>
      <c r="B11" s="373"/>
      <c r="C11" s="104"/>
      <c r="D11" s="105"/>
      <c r="E11" s="45"/>
      <c r="F11" s="106">
        <f>C11</f>
        <v>0</v>
      </c>
      <c r="G11" s="107">
        <f>C11</f>
        <v>0</v>
      </c>
      <c r="H11" s="108">
        <f>D11</f>
        <v>0</v>
      </c>
      <c r="I11" s="109"/>
      <c r="J11" s="106">
        <f>$C11</f>
        <v>0</v>
      </c>
      <c r="K11" s="107">
        <f>$C11</f>
        <v>0</v>
      </c>
      <c r="L11" s="108">
        <f>D11</f>
        <v>0</v>
      </c>
      <c r="M11" s="45"/>
      <c r="N11" s="106">
        <f>D11</f>
        <v>0</v>
      </c>
      <c r="O11" s="108">
        <f>D11</f>
        <v>0</v>
      </c>
      <c r="P11" s="45"/>
      <c r="Q11" s="106">
        <f>$D11</f>
        <v>0</v>
      </c>
      <c r="R11" s="108">
        <f>$D11</f>
        <v>0</v>
      </c>
      <c r="S11" s="200"/>
      <c r="T11" s="200"/>
      <c r="Y11" s="206"/>
      <c r="Z11" s="206"/>
      <c r="AA11" s="206"/>
      <c r="AB11" s="206"/>
      <c r="AC11" s="200"/>
    </row>
    <row r="12" spans="1:31" x14ac:dyDescent="0.2">
      <c r="A12" s="368" t="s">
        <v>97</v>
      </c>
      <c r="B12" s="373"/>
      <c r="C12" s="104"/>
      <c r="D12" s="105"/>
      <c r="E12" s="45"/>
      <c r="F12" s="106">
        <f>C12</f>
        <v>0</v>
      </c>
      <c r="G12" s="107">
        <f>C12</f>
        <v>0</v>
      </c>
      <c r="H12" s="108"/>
      <c r="I12" s="109"/>
      <c r="J12" s="106"/>
      <c r="K12" s="107"/>
      <c r="L12" s="108"/>
      <c r="M12" s="45"/>
      <c r="N12" s="106">
        <f>D12</f>
        <v>0</v>
      </c>
      <c r="O12" s="108">
        <f>D12</f>
        <v>0</v>
      </c>
      <c r="P12" s="45"/>
      <c r="Q12" s="106"/>
      <c r="R12" s="108"/>
      <c r="S12" s="200"/>
      <c r="T12" s="200"/>
      <c r="Y12" s="206"/>
      <c r="Z12" s="206"/>
      <c r="AA12" s="206"/>
      <c r="AB12" s="206"/>
      <c r="AC12" s="200"/>
    </row>
    <row r="13" spans="1:31" x14ac:dyDescent="0.2">
      <c r="A13" s="368" t="s">
        <v>94</v>
      </c>
      <c r="B13" s="369"/>
      <c r="C13" s="246"/>
      <c r="D13" s="110" t="s">
        <v>29</v>
      </c>
      <c r="F13" s="106"/>
      <c r="G13" s="107"/>
      <c r="H13" s="108"/>
      <c r="I13" s="109"/>
      <c r="J13" s="106"/>
      <c r="K13" s="107"/>
      <c r="L13" s="108"/>
      <c r="M13" s="45"/>
      <c r="N13" s="106"/>
      <c r="O13" s="108"/>
      <c r="P13" s="45"/>
      <c r="Q13" s="106"/>
      <c r="R13" s="108"/>
      <c r="S13" s="200"/>
      <c r="T13" s="200"/>
      <c r="Y13" s="206"/>
      <c r="Z13" s="206"/>
      <c r="AA13" s="206"/>
      <c r="AB13" s="206"/>
      <c r="AC13" s="200"/>
    </row>
    <row r="14" spans="1:31" x14ac:dyDescent="0.2">
      <c r="A14" s="368" t="s">
        <v>102</v>
      </c>
      <c r="B14" s="373"/>
      <c r="C14" s="244">
        <v>43641</v>
      </c>
      <c r="D14" s="276">
        <v>43641</v>
      </c>
      <c r="E14" s="45"/>
      <c r="F14" s="106"/>
      <c r="G14" s="111">
        <f t="shared" ref="G14:H16" si="0">C14</f>
        <v>43641</v>
      </c>
      <c r="H14" s="112">
        <f t="shared" si="0"/>
        <v>43641</v>
      </c>
      <c r="I14" s="113"/>
      <c r="J14" s="114">
        <f>$C14</f>
        <v>43641</v>
      </c>
      <c r="K14" s="111">
        <f>$C14</f>
        <v>43641</v>
      </c>
      <c r="L14" s="112">
        <f>$D14</f>
        <v>43641</v>
      </c>
      <c r="M14" s="45"/>
      <c r="N14" s="114"/>
      <c r="O14" s="112">
        <f>D14</f>
        <v>43641</v>
      </c>
      <c r="P14" s="45"/>
      <c r="Q14" s="114">
        <f>D14</f>
        <v>43641</v>
      </c>
      <c r="R14" s="112">
        <f>$D14</f>
        <v>43641</v>
      </c>
      <c r="S14" s="200"/>
      <c r="T14" s="200"/>
      <c r="V14" s="299">
        <f>MATCH(D13,V4:V6,0)</f>
        <v>3</v>
      </c>
      <c r="W14" s="300"/>
      <c r="Y14" s="206"/>
      <c r="Z14" s="206"/>
      <c r="AA14" s="206"/>
      <c r="AB14" s="206"/>
      <c r="AC14" s="200"/>
    </row>
    <row r="15" spans="1:31" x14ac:dyDescent="0.2">
      <c r="A15" s="368" t="s">
        <v>95</v>
      </c>
      <c r="B15" s="369"/>
      <c r="C15" s="115">
        <f ca="1">MAX(MIN((Data!C33+Data!D33*(C14-Data!C20)+Data!E33*(C14-Data!C20)^2)/100,1),0)</f>
        <v>0.64232925000000007</v>
      </c>
      <c r="D15" s="116">
        <f ca="1">MIN(1,MAX(CHOOSE(V14,Data!C27,Data!C28,Data!C29)+CHOOSE(V14,Data!D27,Data!D28,Data!D29)*(D14-Data!D20)-CHOOSE(V14,Data!E27,Data!E28,Data!E29)*((D14-Data!D20)^2),0))</f>
        <v>0.90449999999999997</v>
      </c>
      <c r="E15" s="45"/>
      <c r="F15" s="106"/>
      <c r="G15" s="117">
        <f t="shared" ca="1" si="0"/>
        <v>0.64232925000000007</v>
      </c>
      <c r="H15" s="118">
        <f t="shared" ca="1" si="0"/>
        <v>0.90449999999999997</v>
      </c>
      <c r="I15" s="119"/>
      <c r="J15" s="367" t="str">
        <f ca="1">IF(J14&gt;Data!C13," ","too soon for prevented planting")</f>
        <v xml:space="preserve"> </v>
      </c>
      <c r="K15" s="117">
        <f ca="1">C15</f>
        <v>0.64232925000000007</v>
      </c>
      <c r="L15" s="118">
        <f ca="1">D15</f>
        <v>0.90449999999999997</v>
      </c>
      <c r="M15" s="45"/>
      <c r="N15" s="106"/>
      <c r="O15" s="118">
        <f ca="1">D15</f>
        <v>0.90449999999999997</v>
      </c>
      <c r="P15" s="45"/>
      <c r="Q15" s="367" t="str">
        <f ca="1">IF(Q14&gt;Data!D13," ","too soon for prevented planting")</f>
        <v xml:space="preserve"> </v>
      </c>
      <c r="R15" s="118">
        <f ca="1">D15</f>
        <v>0.90449999999999997</v>
      </c>
      <c r="S15" s="200"/>
      <c r="T15" s="200"/>
      <c r="V15" s="299">
        <f>MATCH(C18,W4:W8,0)</f>
        <v>4</v>
      </c>
      <c r="W15" s="301">
        <f>MATCH(D18,W4:W8,0)</f>
        <v>4</v>
      </c>
      <c r="Y15" s="206"/>
      <c r="Z15" s="206"/>
      <c r="AA15" s="206"/>
      <c r="AB15" s="206"/>
      <c r="AC15" s="200"/>
    </row>
    <row r="16" spans="1:31" x14ac:dyDescent="0.2">
      <c r="A16" s="368" t="s">
        <v>99</v>
      </c>
      <c r="B16" s="369"/>
      <c r="C16" s="120">
        <f ca="1">C15*C11</f>
        <v>0</v>
      </c>
      <c r="D16" s="121">
        <f ca="1">D15*D11</f>
        <v>0</v>
      </c>
      <c r="E16" s="45"/>
      <c r="F16" s="106"/>
      <c r="G16" s="122">
        <f t="shared" ca="1" si="0"/>
        <v>0</v>
      </c>
      <c r="H16" s="123">
        <f t="shared" ca="1" si="0"/>
        <v>0</v>
      </c>
      <c r="I16" s="120"/>
      <c r="J16" s="367"/>
      <c r="K16" s="122">
        <f ca="1">C16</f>
        <v>0</v>
      </c>
      <c r="L16" s="123">
        <f ca="1">D16</f>
        <v>0</v>
      </c>
      <c r="M16" s="45"/>
      <c r="N16" s="106"/>
      <c r="O16" s="123">
        <f ca="1">D16</f>
        <v>0</v>
      </c>
      <c r="P16" s="45"/>
      <c r="Q16" s="367"/>
      <c r="R16" s="123">
        <f ca="1">D16</f>
        <v>0</v>
      </c>
      <c r="S16" s="200"/>
      <c r="T16" s="200"/>
      <c r="V16" s="206"/>
      <c r="W16" s="206"/>
      <c r="Y16" s="206"/>
      <c r="Z16" s="206"/>
      <c r="AA16" s="206"/>
      <c r="AB16" s="206"/>
      <c r="AC16" s="200"/>
    </row>
    <row r="17" spans="1:28" x14ac:dyDescent="0.2">
      <c r="A17" s="335" t="s">
        <v>21</v>
      </c>
      <c r="B17" s="336"/>
      <c r="C17" s="124"/>
      <c r="D17" s="125"/>
      <c r="E17" s="45"/>
      <c r="F17" s="106"/>
      <c r="G17" s="107"/>
      <c r="H17" s="108"/>
      <c r="I17" s="109"/>
      <c r="J17" s="367"/>
      <c r="K17" s="107"/>
      <c r="L17" s="108"/>
      <c r="M17" s="45"/>
      <c r="N17" s="106"/>
      <c r="O17" s="108"/>
      <c r="P17" s="45"/>
      <c r="Q17" s="367"/>
      <c r="R17" s="108"/>
      <c r="V17" s="206"/>
      <c r="W17" s="206"/>
      <c r="Y17" s="206"/>
      <c r="Z17" s="206"/>
      <c r="AA17" s="206"/>
      <c r="AB17" s="206"/>
    </row>
    <row r="18" spans="1:28" x14ac:dyDescent="0.2">
      <c r="A18" s="372" t="s">
        <v>57</v>
      </c>
      <c r="B18" s="369"/>
      <c r="C18" s="126" t="s">
        <v>54</v>
      </c>
      <c r="D18" s="127" t="s">
        <v>54</v>
      </c>
      <c r="E18" s="45"/>
      <c r="F18" s="76" t="str">
        <f>CHOOSE($V15,Data!$B3,Data!$B4,Data!$B5,Data!$B6,Data!$B7,Data!$B8)</f>
        <v>Revenue Prot.</v>
      </c>
      <c r="G18" s="77" t="str">
        <f>CHOOSE($V15,Data!$B3,Data!$B4,Data!$B5,Data!$B6,Data!$B7,Data!$B8)</f>
        <v>Revenue Prot.</v>
      </c>
      <c r="H18" s="78" t="str">
        <f>CHOOSE($W15,Data!$B3,Data!$B4,Data!$B5,Data!$B6,Data!$B7,Data!$B8)</f>
        <v>Revenue Prot.</v>
      </c>
      <c r="I18" s="79"/>
      <c r="J18" s="76" t="str">
        <f>CHOOSE($V15,Data!$B3,Data!$B4,Data!$B5,Data!$B6,Data!$B7,Data!$B8)</f>
        <v>Revenue Prot.</v>
      </c>
      <c r="K18" s="77" t="str">
        <f>CHOOSE($V15,Data!$B3,Data!$B4,Data!$B5,Data!$B6,Data!$B7,Data!$B8)</f>
        <v>Revenue Prot.</v>
      </c>
      <c r="L18" s="78" t="str">
        <f>CHOOSE($W15,Data!$B3,Data!$B4,Data!$B5,Data!$B6,Data!$B7,Data!$B8)</f>
        <v>Revenue Prot.</v>
      </c>
      <c r="M18" s="80"/>
      <c r="N18" s="76" t="str">
        <f>CHOOSE($W15,Data!$B3,Data!$B4,Data!$B5,Data!$B6,Data!$B7,Data!$B8)</f>
        <v>Revenue Prot.</v>
      </c>
      <c r="O18" s="78" t="str">
        <f>CHOOSE($W15,Data!$B3,Data!$B4,Data!$B5,Data!$B6,Data!$B7,Data!$B8)</f>
        <v>Revenue Prot.</v>
      </c>
      <c r="P18" s="81"/>
      <c r="Q18" s="76" t="str">
        <f>CHOOSE($W15,Data!$B3,Data!$B4,Data!$B5,Data!$B6,Data!$B7,Data!$B8)</f>
        <v>Revenue Prot.</v>
      </c>
      <c r="R18" s="78" t="str">
        <f>CHOOSE($W15,Data!$B3,Data!$B4,Data!$B5,Data!$B6,Data!$B7,Data!$B8)</f>
        <v>Revenue Prot.</v>
      </c>
      <c r="V18" s="206"/>
      <c r="W18" s="206"/>
      <c r="Y18" s="206"/>
      <c r="Z18" s="206"/>
      <c r="AA18" s="206"/>
      <c r="AB18" s="206"/>
    </row>
    <row r="19" spans="1:28" x14ac:dyDescent="0.2">
      <c r="A19" s="368" t="s">
        <v>98</v>
      </c>
      <c r="B19" s="373"/>
      <c r="C19" s="104"/>
      <c r="D19" s="105"/>
      <c r="E19" s="45"/>
      <c r="F19" s="106">
        <f>C19</f>
        <v>0</v>
      </c>
      <c r="G19" s="107">
        <f>C19</f>
        <v>0</v>
      </c>
      <c r="H19" s="108">
        <f>D19</f>
        <v>0</v>
      </c>
      <c r="I19" s="109"/>
      <c r="J19" s="106">
        <f>$C19</f>
        <v>0</v>
      </c>
      <c r="K19" s="107">
        <f>$C19</f>
        <v>0</v>
      </c>
      <c r="L19" s="108">
        <f>D19</f>
        <v>0</v>
      </c>
      <c r="M19" s="45"/>
      <c r="N19" s="106">
        <f>D19</f>
        <v>0</v>
      </c>
      <c r="O19" s="108">
        <f>D19</f>
        <v>0</v>
      </c>
      <c r="P19" s="45"/>
      <c r="Q19" s="106">
        <f>$D19</f>
        <v>0</v>
      </c>
      <c r="R19" s="108">
        <f>$D19</f>
        <v>0</v>
      </c>
      <c r="Y19" s="206"/>
      <c r="Z19" s="206"/>
      <c r="AA19" s="206"/>
      <c r="AB19" s="206"/>
    </row>
    <row r="20" spans="1:28" x14ac:dyDescent="0.2">
      <c r="A20" s="337" t="str">
        <f>IF(V15=3,"Indemnity price % elected, for Yield Protection only",IF(W15=3,"Indemnity price % elected, for Yield Protection only"," "))</f>
        <v xml:space="preserve"> </v>
      </c>
      <c r="B20" s="334"/>
      <c r="C20" s="270">
        <v>1</v>
      </c>
      <c r="D20" s="271">
        <v>1</v>
      </c>
      <c r="E20" s="45"/>
      <c r="F20" s="106"/>
      <c r="G20" s="107"/>
      <c r="H20" s="108"/>
      <c r="I20" s="109"/>
      <c r="J20" s="106"/>
      <c r="K20" s="107"/>
      <c r="L20" s="108"/>
      <c r="M20" s="45"/>
      <c r="N20" s="106"/>
      <c r="O20" s="108"/>
      <c r="P20" s="45"/>
      <c r="Q20" s="106"/>
      <c r="R20" s="108"/>
      <c r="Y20" s="206"/>
      <c r="Z20" s="206"/>
      <c r="AA20" s="206"/>
      <c r="AB20" s="206"/>
    </row>
    <row r="21" spans="1:28" x14ac:dyDescent="0.2">
      <c r="A21" s="372" t="s">
        <v>20</v>
      </c>
      <c r="B21" s="369"/>
      <c r="C21" s="279">
        <f>CHOOSE(V15,Data!C3,Data!C4,Data!C5*C20,MAX(Data!C6,MIN(C10,2*Data!C6)),Data!C6)</f>
        <v>4</v>
      </c>
      <c r="D21" s="280">
        <f>CHOOSE(W15,Data!D3,Data!D4,Data!D5*D20,MAX(Data!D6,MIN(D10,2*Data!D6)),Data!D6)</f>
        <v>9.5399999999999991</v>
      </c>
      <c r="E21" s="45"/>
      <c r="F21" s="130">
        <f>C21</f>
        <v>4</v>
      </c>
      <c r="G21" s="131">
        <f>C21</f>
        <v>4</v>
      </c>
      <c r="H21" s="132">
        <f>D21</f>
        <v>9.5399999999999991</v>
      </c>
      <c r="I21" s="129"/>
      <c r="J21" s="130">
        <f>$C21</f>
        <v>4</v>
      </c>
      <c r="K21" s="133">
        <f>$C21</f>
        <v>4</v>
      </c>
      <c r="L21" s="132">
        <f>D21</f>
        <v>9.5399999999999991</v>
      </c>
      <c r="M21" s="45"/>
      <c r="N21" s="130">
        <f>D21</f>
        <v>9.5399999999999991</v>
      </c>
      <c r="O21" s="134">
        <f>D21</f>
        <v>9.5399999999999991</v>
      </c>
      <c r="P21" s="45"/>
      <c r="Q21" s="130">
        <f>$D21</f>
        <v>9.5399999999999991</v>
      </c>
      <c r="R21" s="134">
        <f>$D21</f>
        <v>9.5399999999999991</v>
      </c>
      <c r="Y21" s="206"/>
      <c r="Z21" s="206"/>
      <c r="AA21" s="206"/>
      <c r="AB21" s="206"/>
    </row>
    <row r="22" spans="1:28" x14ac:dyDescent="0.2">
      <c r="A22" s="372" t="s">
        <v>59</v>
      </c>
      <c r="B22" s="373"/>
      <c r="C22" s="128"/>
      <c r="D22" s="135"/>
      <c r="E22" s="45"/>
      <c r="F22" s="106"/>
      <c r="G22" s="107"/>
      <c r="H22" s="108"/>
      <c r="I22" s="136"/>
      <c r="J22" s="106"/>
      <c r="K22" s="107"/>
      <c r="L22" s="108"/>
      <c r="M22" s="45"/>
      <c r="N22" s="106"/>
      <c r="O22" s="108"/>
      <c r="P22" s="45"/>
      <c r="Q22" s="106"/>
      <c r="R22" s="108"/>
      <c r="Y22" s="206"/>
      <c r="Z22" s="206"/>
      <c r="AA22" s="206"/>
      <c r="AB22" s="206"/>
    </row>
    <row r="23" spans="1:28" x14ac:dyDescent="0.2">
      <c r="A23" s="372" t="s">
        <v>15</v>
      </c>
      <c r="B23" s="369"/>
      <c r="C23" s="115"/>
      <c r="D23" s="116"/>
      <c r="E23" s="45"/>
      <c r="F23" s="137">
        <f>C22</f>
        <v>0</v>
      </c>
      <c r="G23" s="138">
        <f>C22</f>
        <v>0</v>
      </c>
      <c r="H23" s="139">
        <f ca="1">$D22*IF(H14&lt;(Data!$D13+25),IF(H14&gt;Data!$D13,1-(H14-Data!$D13)/100,1),0.6)</f>
        <v>0</v>
      </c>
      <c r="I23" s="136"/>
      <c r="J23" s="137">
        <f>C22*0.55</f>
        <v>0</v>
      </c>
      <c r="K23" s="138">
        <f ca="1">$C22*IF(K14&lt;(Data!$C13+25),IF(K14&gt;Data!$C13,1-(K14-Data!$C13)/100,1),0.55)</f>
        <v>0</v>
      </c>
      <c r="L23" s="139">
        <f ca="1">$D22*IF(L14&lt;(Data!$D13+25),IF(L14&gt;Data!$D13,1-(L14-Data!$D13)/100,1),0.6)</f>
        <v>0</v>
      </c>
      <c r="M23" s="45"/>
      <c r="N23" s="137">
        <f>D22</f>
        <v>0</v>
      </c>
      <c r="O23" s="140">
        <f>D22</f>
        <v>0</v>
      </c>
      <c r="P23" s="45"/>
      <c r="Q23" s="137">
        <f>D22*0.6</f>
        <v>0</v>
      </c>
      <c r="R23" s="140">
        <f ca="1">$D22*IF(R14&lt;(Data!$D13+25),IF(R14&gt;Data!$D13,1-(R14-Data!$D13)/100,1),0.6)</f>
        <v>0</v>
      </c>
    </row>
    <row r="24" spans="1:28" x14ac:dyDescent="0.2">
      <c r="A24" s="368" t="s">
        <v>117</v>
      </c>
      <c r="B24" s="373"/>
      <c r="C24" s="102"/>
      <c r="D24" s="103"/>
      <c r="E24" s="45"/>
      <c r="F24" s="305">
        <f>C24</f>
        <v>0</v>
      </c>
      <c r="G24" s="306">
        <f>C24</f>
        <v>0</v>
      </c>
      <c r="H24" s="307">
        <f>IF(0.65*F44&gt;IF(H35&gt;0,CHOOSE(W15,0,(H19*H23-H16)*H21,(H19*H23-H16)*H21,(H19*H21*H23-H16*D10),(H19*H21*H23-H16*D10)),0),C24,0.35*C24)</f>
        <v>0</v>
      </c>
      <c r="I24" s="136"/>
      <c r="J24" s="305">
        <f>C24</f>
        <v>0</v>
      </c>
      <c r="K24" s="306">
        <f>C24</f>
        <v>0</v>
      </c>
      <c r="L24" s="307">
        <f ca="1">IF(L14&gt;Data!C13+25,C24*0.35,0)</f>
        <v>0</v>
      </c>
      <c r="M24" s="45"/>
      <c r="N24" s="305">
        <f>D24</f>
        <v>0</v>
      </c>
      <c r="O24" s="307">
        <f>D24</f>
        <v>0</v>
      </c>
      <c r="P24" s="45"/>
      <c r="Q24" s="305">
        <f>D24</f>
        <v>0</v>
      </c>
      <c r="R24" s="307">
        <f>D24</f>
        <v>0</v>
      </c>
    </row>
    <row r="25" spans="1:28" ht="12.6" customHeight="1" x14ac:dyDescent="0.2">
      <c r="A25" s="337"/>
      <c r="B25" s="334"/>
      <c r="C25" s="141"/>
      <c r="D25" s="142"/>
      <c r="E25" s="45"/>
      <c r="F25" s="359" t="str">
        <f>IF($F12&lt;0.9*$F19,IF($C14&lt;Data!$C13+11,"Practical to replant."," ")," ")</f>
        <v xml:space="preserve"> </v>
      </c>
      <c r="G25" s="361" t="str">
        <f>IF($G12&lt;0.9*$G19,IF($C14&lt;Data!$C13+11,"Practical to replant."," ")," ")</f>
        <v xml:space="preserve"> </v>
      </c>
      <c r="H25" s="363" t="str">
        <f>IF($C12&lt;0.9*$C19,IF($C14&lt;Data!$C13+11,"Practical to replant."," ")," ")</f>
        <v xml:space="preserve"> </v>
      </c>
      <c r="I25" s="333"/>
      <c r="J25" s="293"/>
      <c r="K25" s="143"/>
      <c r="L25" s="295"/>
      <c r="M25" s="144"/>
      <c r="N25" s="359" t="str">
        <f>IF($N12&lt;0.9*$N19,IF($D14&lt;Data!$D13+11,"Practical to replant."," ")," ")</f>
        <v xml:space="preserve"> </v>
      </c>
      <c r="O25" s="363" t="str">
        <f>IF($O12&lt;0.9*$O19,IF($D14&lt;Data!$D13+11,"Practical to replant."," ")," ")</f>
        <v xml:space="preserve"> </v>
      </c>
      <c r="P25" s="144"/>
      <c r="Q25" s="293"/>
      <c r="R25" s="295"/>
    </row>
    <row r="26" spans="1:28" ht="12.75" customHeight="1" x14ac:dyDescent="0.2">
      <c r="A26" s="370" t="s">
        <v>40</v>
      </c>
      <c r="B26" s="371"/>
      <c r="C26" s="334"/>
      <c r="D26" s="142"/>
      <c r="E26" s="45"/>
      <c r="F26" s="360"/>
      <c r="G26" s="362"/>
      <c r="H26" s="364"/>
      <c r="I26" s="333"/>
      <c r="J26" s="145"/>
      <c r="K26" s="146"/>
      <c r="L26" s="147"/>
      <c r="M26" s="144"/>
      <c r="N26" s="360"/>
      <c r="O26" s="364"/>
      <c r="P26" s="144"/>
      <c r="Q26" s="145"/>
      <c r="R26" s="147"/>
    </row>
    <row r="27" spans="1:28" ht="12.75" customHeight="1" x14ac:dyDescent="0.2">
      <c r="A27" s="275" t="s">
        <v>25</v>
      </c>
      <c r="B27" s="336"/>
      <c r="C27" s="148"/>
      <c r="D27" s="247"/>
      <c r="E27" s="45"/>
      <c r="F27" s="343" t="s">
        <v>6</v>
      </c>
      <c r="G27" s="365"/>
      <c r="H27" s="344"/>
      <c r="I27" s="149"/>
      <c r="J27" s="349" t="s">
        <v>6</v>
      </c>
      <c r="K27" s="366"/>
      <c r="L27" s="358"/>
      <c r="M27" s="144"/>
      <c r="N27" s="343" t="s">
        <v>6</v>
      </c>
      <c r="O27" s="344"/>
      <c r="P27" s="144"/>
      <c r="Q27" s="343" t="s">
        <v>6</v>
      </c>
      <c r="R27" s="344"/>
    </row>
    <row r="28" spans="1:28" x14ac:dyDescent="0.2">
      <c r="A28" s="273" t="s">
        <v>17</v>
      </c>
      <c r="B28" s="272"/>
      <c r="C28" s="272"/>
      <c r="D28" s="150"/>
      <c r="E28" s="151"/>
      <c r="F28" s="152"/>
      <c r="G28" s="102"/>
      <c r="H28" s="103"/>
      <c r="I28" s="141"/>
      <c r="J28" s="153"/>
      <c r="K28" s="102"/>
      <c r="L28" s="103"/>
      <c r="M28" s="45"/>
      <c r="N28" s="154"/>
      <c r="O28" s="103"/>
      <c r="P28" s="45"/>
      <c r="Q28" s="153"/>
      <c r="R28" s="103"/>
    </row>
    <row r="29" spans="1:28" x14ac:dyDescent="0.2">
      <c r="A29" s="273" t="s">
        <v>2</v>
      </c>
      <c r="B29" s="272"/>
      <c r="C29" s="272"/>
      <c r="D29" s="150"/>
      <c r="E29" s="45"/>
      <c r="F29" s="155"/>
      <c r="G29" s="156"/>
      <c r="H29" s="157"/>
      <c r="I29" s="158"/>
      <c r="J29" s="159"/>
      <c r="K29" s="156"/>
      <c r="L29" s="157"/>
      <c r="M29" s="45"/>
      <c r="N29" s="160"/>
      <c r="O29" s="157"/>
      <c r="P29" s="45"/>
      <c r="Q29" s="159"/>
      <c r="R29" s="157"/>
    </row>
    <row r="30" spans="1:28" x14ac:dyDescent="0.2">
      <c r="A30" s="273" t="s">
        <v>19</v>
      </c>
      <c r="B30" s="272"/>
      <c r="C30" s="272"/>
      <c r="D30" s="150"/>
      <c r="E30" s="45"/>
      <c r="F30" s="159"/>
      <c r="G30" s="156"/>
      <c r="H30" s="157"/>
      <c r="I30" s="158"/>
      <c r="J30" s="159"/>
      <c r="K30" s="156"/>
      <c r="L30" s="157"/>
      <c r="M30" s="45"/>
      <c r="N30" s="159"/>
      <c r="O30" s="157"/>
      <c r="P30" s="45"/>
      <c r="Q30" s="159"/>
      <c r="R30" s="157"/>
    </row>
    <row r="31" spans="1:28" x14ac:dyDescent="0.2">
      <c r="A31" s="273" t="s">
        <v>27</v>
      </c>
      <c r="B31" s="272"/>
      <c r="C31" s="272"/>
      <c r="D31" s="150"/>
      <c r="E31" s="45"/>
      <c r="F31" s="159"/>
      <c r="G31" s="156"/>
      <c r="H31" s="157"/>
      <c r="I31" s="158"/>
      <c r="J31" s="159"/>
      <c r="K31" s="156"/>
      <c r="L31" s="157"/>
      <c r="M31" s="45"/>
      <c r="N31" s="159"/>
      <c r="O31" s="157"/>
      <c r="P31" s="45"/>
      <c r="Q31" s="159"/>
      <c r="R31" s="157"/>
    </row>
    <row r="32" spans="1:28" x14ac:dyDescent="0.2">
      <c r="A32" s="273" t="s">
        <v>3</v>
      </c>
      <c r="B32" s="272"/>
      <c r="C32" s="272"/>
      <c r="D32" s="150"/>
      <c r="E32" s="45"/>
      <c r="F32" s="159"/>
      <c r="G32" s="156"/>
      <c r="H32" s="157"/>
      <c r="I32" s="158"/>
      <c r="J32" s="159"/>
      <c r="K32" s="156"/>
      <c r="L32" s="157"/>
      <c r="M32" s="45"/>
      <c r="N32" s="159"/>
      <c r="O32" s="157"/>
      <c r="P32" s="45"/>
      <c r="Q32" s="159"/>
      <c r="R32" s="157"/>
    </row>
    <row r="33" spans="1:28" x14ac:dyDescent="0.2">
      <c r="A33" s="273" t="s">
        <v>4</v>
      </c>
      <c r="B33" s="272"/>
      <c r="C33" s="272"/>
      <c r="D33" s="142"/>
      <c r="E33" s="45"/>
      <c r="F33" s="159"/>
      <c r="G33" s="156"/>
      <c r="H33" s="157"/>
      <c r="I33" s="158"/>
      <c r="J33" s="159"/>
      <c r="K33" s="156"/>
      <c r="L33" s="157"/>
      <c r="M33" s="45"/>
      <c r="N33" s="159"/>
      <c r="O33" s="157"/>
      <c r="P33" s="45"/>
      <c r="Q33" s="159"/>
      <c r="R33" s="157"/>
    </row>
    <row r="34" spans="1:28" x14ac:dyDescent="0.2">
      <c r="A34" s="273" t="s">
        <v>16</v>
      </c>
      <c r="B34" s="272"/>
      <c r="C34" s="272"/>
      <c r="D34" s="161"/>
      <c r="E34" s="45"/>
      <c r="F34" s="159"/>
      <c r="G34" s="156"/>
      <c r="H34" s="157"/>
      <c r="I34" s="158"/>
      <c r="J34" s="159"/>
      <c r="K34" s="156"/>
      <c r="L34" s="157"/>
      <c r="M34" s="45"/>
      <c r="N34" s="159"/>
      <c r="O34" s="157"/>
      <c r="P34" s="45"/>
      <c r="Q34" s="159"/>
      <c r="R34" s="157"/>
    </row>
    <row r="35" spans="1:28" x14ac:dyDescent="0.2">
      <c r="A35" s="273" t="s">
        <v>18</v>
      </c>
      <c r="B35" s="272"/>
      <c r="C35" s="272"/>
      <c r="D35" s="142"/>
      <c r="E35" s="45"/>
      <c r="F35" s="130"/>
      <c r="G35" s="133"/>
      <c r="H35" s="339">
        <f>D24</f>
        <v>0</v>
      </c>
      <c r="I35" s="129"/>
      <c r="J35" s="162"/>
      <c r="K35" s="163"/>
      <c r="L35" s="338">
        <f>D24</f>
        <v>0</v>
      </c>
      <c r="M35" s="45"/>
      <c r="N35" s="130"/>
      <c r="O35" s="134"/>
      <c r="P35" s="45"/>
      <c r="Q35" s="162"/>
      <c r="R35" s="164"/>
    </row>
    <row r="36" spans="1:28" x14ac:dyDescent="0.2">
      <c r="A36" s="275" t="s">
        <v>26</v>
      </c>
      <c r="B36" s="336"/>
      <c r="C36" s="334"/>
      <c r="D36" s="150"/>
      <c r="E36" s="45"/>
      <c r="F36" s="106"/>
      <c r="G36" s="107"/>
      <c r="H36" s="340"/>
      <c r="I36" s="109"/>
      <c r="J36" s="106"/>
      <c r="K36" s="107"/>
      <c r="L36" s="180"/>
      <c r="M36" s="45"/>
      <c r="N36" s="106"/>
      <c r="O36" s="108"/>
      <c r="P36" s="45"/>
      <c r="Q36" s="106"/>
      <c r="R36" s="108"/>
    </row>
    <row r="37" spans="1:28" x14ac:dyDescent="0.2">
      <c r="A37" s="273" t="s">
        <v>3</v>
      </c>
      <c r="B37" s="334"/>
      <c r="C37" s="334"/>
      <c r="D37" s="150"/>
      <c r="E37" s="45"/>
      <c r="F37" s="153"/>
      <c r="G37" s="102"/>
      <c r="H37" s="341"/>
      <c r="I37" s="141"/>
      <c r="J37" s="130"/>
      <c r="K37" s="102"/>
      <c r="L37" s="157"/>
      <c r="M37" s="45"/>
      <c r="N37" s="159"/>
      <c r="O37" s="157"/>
      <c r="P37" s="151"/>
      <c r="Q37" s="130"/>
      <c r="R37" s="157"/>
    </row>
    <row r="38" spans="1:28" x14ac:dyDescent="0.2">
      <c r="A38" s="273" t="s">
        <v>16</v>
      </c>
      <c r="B38" s="334"/>
      <c r="C38" s="148"/>
      <c r="D38" s="247"/>
      <c r="E38" s="45"/>
      <c r="F38" s="159"/>
      <c r="G38" s="156"/>
      <c r="H38" s="341"/>
      <c r="I38" s="158"/>
      <c r="J38" s="130"/>
      <c r="K38" s="102"/>
      <c r="L38" s="157"/>
      <c r="M38" s="45"/>
      <c r="N38" s="159"/>
      <c r="O38" s="157"/>
      <c r="P38" s="151"/>
      <c r="Q38" s="130"/>
      <c r="R38" s="157"/>
    </row>
    <row r="39" spans="1:28" x14ac:dyDescent="0.2">
      <c r="A39" s="273" t="s">
        <v>4</v>
      </c>
      <c r="B39" s="166" t="s">
        <v>52</v>
      </c>
      <c r="C39" s="61" t="s">
        <v>51</v>
      </c>
      <c r="D39" s="167" t="s">
        <v>1</v>
      </c>
      <c r="E39" s="45"/>
      <c r="F39" s="159"/>
      <c r="G39" s="156"/>
      <c r="H39" s="341"/>
      <c r="I39" s="158"/>
      <c r="J39" s="130"/>
      <c r="K39" s="156"/>
      <c r="L39" s="157"/>
      <c r="M39" s="45"/>
      <c r="N39" s="159"/>
      <c r="O39" s="157"/>
      <c r="P39" s="151"/>
      <c r="Q39" s="130"/>
      <c r="R39" s="157"/>
    </row>
    <row r="40" spans="1:28" s="168" customFormat="1" ht="15" x14ac:dyDescent="0.2">
      <c r="A40" s="274" t="s">
        <v>100</v>
      </c>
      <c r="B40" s="169"/>
      <c r="C40" s="169"/>
      <c r="D40" s="170"/>
      <c r="E40" s="171"/>
      <c r="F40" s="46">
        <f>F12*$B40</f>
        <v>0</v>
      </c>
      <c r="G40" s="47">
        <f ca="1">G16*$C40</f>
        <v>0</v>
      </c>
      <c r="H40" s="48">
        <f ca="1">H16*$D40</f>
        <v>0</v>
      </c>
      <c r="I40" s="50"/>
      <c r="J40" s="51"/>
      <c r="K40" s="47">
        <f ca="1">K16*$C40</f>
        <v>0</v>
      </c>
      <c r="L40" s="48">
        <f ca="1">L16*$D40</f>
        <v>0</v>
      </c>
      <c r="M40" s="49"/>
      <c r="N40" s="46">
        <f>N12*$D40</f>
        <v>0</v>
      </c>
      <c r="O40" s="48">
        <f ca="1">O16*$D40</f>
        <v>0</v>
      </c>
      <c r="P40" s="49"/>
      <c r="Q40" s="51"/>
      <c r="R40" s="48">
        <f ca="1">R16*$D40</f>
        <v>0</v>
      </c>
      <c r="U40" s="202"/>
      <c r="V40" s="202"/>
      <c r="W40" s="202"/>
      <c r="X40" s="202"/>
      <c r="Y40" s="202"/>
      <c r="Z40" s="202"/>
      <c r="AA40" s="202"/>
      <c r="AB40" s="202"/>
    </row>
    <row r="41" spans="1:28" x14ac:dyDescent="0.2">
      <c r="A41" s="172" t="s">
        <v>23</v>
      </c>
      <c r="B41" s="173"/>
      <c r="C41" s="109"/>
      <c r="D41" s="161"/>
      <c r="E41" s="45"/>
      <c r="F41" s="174">
        <f>SUM(F28:F40)</f>
        <v>0</v>
      </c>
      <c r="G41" s="175">
        <f ca="1">SUM(G28:G40)</f>
        <v>0</v>
      </c>
      <c r="H41" s="176">
        <f ca="1">SUM(H28:H40)</f>
        <v>0</v>
      </c>
      <c r="I41" s="177"/>
      <c r="J41" s="174">
        <f>SUM(J28:J40)</f>
        <v>0</v>
      </c>
      <c r="K41" s="175">
        <f ca="1">SUM(K28:K40)</f>
        <v>0</v>
      </c>
      <c r="L41" s="176">
        <f ca="1">SUM(L28:L40)</f>
        <v>0</v>
      </c>
      <c r="M41" s="45"/>
      <c r="N41" s="174">
        <f>SUM(N28:N40)</f>
        <v>0</v>
      </c>
      <c r="O41" s="176">
        <f ca="1">SUM(O28:O40)</f>
        <v>0</v>
      </c>
      <c r="P41" s="45"/>
      <c r="Q41" s="174">
        <f>SUM(Q28:Q40)</f>
        <v>0</v>
      </c>
      <c r="R41" s="176">
        <f ca="1">SUM(R28:R40)</f>
        <v>0</v>
      </c>
    </row>
    <row r="42" spans="1:28" x14ac:dyDescent="0.2">
      <c r="A42" s="165"/>
      <c r="B42" s="109"/>
      <c r="C42" s="109"/>
      <c r="D42" s="161"/>
      <c r="E42" s="45"/>
      <c r="F42" s="106"/>
      <c r="G42" s="107"/>
      <c r="H42" s="108"/>
      <c r="I42" s="178"/>
      <c r="J42" s="155"/>
      <c r="K42" s="179"/>
      <c r="L42" s="108"/>
      <c r="M42" s="45"/>
      <c r="N42" s="155"/>
      <c r="O42" s="180"/>
      <c r="P42" s="45"/>
      <c r="Q42" s="155"/>
      <c r="R42" s="180"/>
    </row>
    <row r="43" spans="1:28" x14ac:dyDescent="0.2">
      <c r="A43" s="165" t="s">
        <v>22</v>
      </c>
      <c r="B43" s="109"/>
      <c r="C43" s="109"/>
      <c r="D43" s="161"/>
      <c r="E43" s="45"/>
      <c r="F43" s="155">
        <f>IF(F12&gt;0,F12*$C9,F11*$C9)</f>
        <v>0</v>
      </c>
      <c r="G43" s="179">
        <f ca="1">G16*$C9</f>
        <v>0</v>
      </c>
      <c r="H43" s="180">
        <f ca="1">H16*$D9</f>
        <v>0</v>
      </c>
      <c r="I43" s="178"/>
      <c r="J43" s="155"/>
      <c r="K43" s="179">
        <f ca="1">K16*C9</f>
        <v>0</v>
      </c>
      <c r="L43" s="180">
        <f ca="1">L16*D9</f>
        <v>0</v>
      </c>
      <c r="M43" s="45"/>
      <c r="N43" s="155">
        <f>N12*$D9</f>
        <v>0</v>
      </c>
      <c r="O43" s="180">
        <f ca="1">O16*D9</f>
        <v>0</v>
      </c>
      <c r="P43" s="45"/>
      <c r="Q43" s="155"/>
      <c r="R43" s="180">
        <f ca="1">R16*D9</f>
        <v>0</v>
      </c>
    </row>
    <row r="44" spans="1:28" x14ac:dyDescent="0.2">
      <c r="A44" s="165" t="s">
        <v>8</v>
      </c>
      <c r="B44" s="109"/>
      <c r="C44" s="109"/>
      <c r="D44" s="247"/>
      <c r="E44" s="45"/>
      <c r="F44" s="155">
        <f>IF($F12&lt;0.9*$F19,IF($C14&lt;Data!$C13+11,0,MAX(CHOOSE(V15,0,(F19*F23-F12)*F21,(F19*F23-F12)*F21,(F19*F21*F23-F12*$C10),(F19*F21*F23-F12*$C10)),0)),0)</f>
        <v>0</v>
      </c>
      <c r="G44" s="179">
        <f ca="1">MAX(CHOOSE(V15,0,(G19*G23-G16)*G21,(G19*G23-G16)*G21,(G19*G21*G23-G16*$C10),(G19*G21*G23-G16*$C10)),0)</f>
        <v>0</v>
      </c>
      <c r="H44" s="180">
        <f>IF(0.65*F44&gt;IF(H35&gt;0,CHOOSE(W15,0,(H19*H23-H16)*H21,(H19*H23-H16)*H21,(H19*H21*H23-H16*D10),(H19*H21*H23-H16*D10)),0),F44,0.35*F44)</f>
        <v>0</v>
      </c>
      <c r="I44" s="109"/>
      <c r="J44" s="155">
        <f ca="1">IF(J14&gt;Data!C13,IF(V15&gt;2,0.55*J19*C$21*C22,0),"too early")</f>
        <v>0</v>
      </c>
      <c r="K44" s="179">
        <f ca="1">MAX(CHOOSE(V15,0,(K19*K23-K16)*K21,(K19*K23-K16)*K21,(K19*K21*K23-K16*$C10),(K19*K21*K23-K16*$C10)),0)</f>
        <v>0</v>
      </c>
      <c r="L44" s="180">
        <f ca="1">IF(L14&gt;Data!C13+25,J44*0.35,0)</f>
        <v>0</v>
      </c>
      <c r="M44" s="45"/>
      <c r="N44" s="106"/>
      <c r="O44" s="108"/>
      <c r="P44" s="45"/>
      <c r="Q44" s="106"/>
      <c r="R44" s="180"/>
    </row>
    <row r="45" spans="1:28" x14ac:dyDescent="0.2">
      <c r="A45" s="165" t="s">
        <v>7</v>
      </c>
      <c r="B45" s="109"/>
      <c r="C45" s="109"/>
      <c r="D45" s="161"/>
      <c r="E45" s="45"/>
      <c r="F45" s="155"/>
      <c r="G45" s="179"/>
      <c r="H45" s="180">
        <f>IF(H35&gt;0,IF(MAX(CHOOSE($W$15,0,0,(H19*H23-H16)*H21,(H19*MAX(H21,$D10)*H23-H16*$D10),(H19*H21*H23-H16*$D10)),0)&gt;0.65*F44,MAX(CHOOSE($W$15,0,0,(H19*H23-H16)*H21,(H19*MAX(H21,$D10)*H23-H16*$D10),(H19*H21*H23-H16*$D10)),0),0),0)</f>
        <v>0</v>
      </c>
      <c r="I45" s="178"/>
      <c r="J45" s="106"/>
      <c r="K45" s="107"/>
      <c r="L45" s="180">
        <f>IF(L35&gt;0,MAX(CHOOSE($W$15,0,0,(L19*L23-L16)*L21,(L19*L21*L23-L16*$D10),(L19*MAX(L21,$D10)*L23-L16*$D10),(L19*MAX(L21,$D10)*L23-L16*$D10)),0),0)</f>
        <v>0</v>
      </c>
      <c r="M45" s="45"/>
      <c r="N45" s="155">
        <f>IF($N12&lt;0.9*$N19,IF($D14&lt;Data!$D13+11,0,MAX(CHOOSE($W$15,0,(N19*N23-N12)*N21,(N19*N23-N12)*N21,(N19*N21*N23-N12*$D10),(N19*N21*N23-N12*$D10)),0)),0)</f>
        <v>0</v>
      </c>
      <c r="O45" s="180">
        <f ca="1">MAX(CHOOSE($W$15,0,(O19*O23-O16)*O21,(O19*O23-O16)*O21,(O19*O21*O23-O16*$D10),(O19*O21*O23-O16*$D10)),0)</f>
        <v>0</v>
      </c>
      <c r="P45" s="45"/>
      <c r="Q45" s="155">
        <f ca="1">IF(Q14&gt;Data!D13,IF(W15&gt;2,0.6*Q19*Data!D5*D22,0),"too early")</f>
        <v>0</v>
      </c>
      <c r="R45" s="180">
        <f ca="1">MAX(CHOOSE($W$15,0,(R19*R23-R16)*R21,(R19*R23-R16)*R21,(R19*R21*R23-R16*$D10),(R19*R21*R23-R16*$D10)),0)</f>
        <v>0</v>
      </c>
    </row>
    <row r="46" spans="1:28" ht="15" x14ac:dyDescent="0.35">
      <c r="A46" s="165" t="s">
        <v>9</v>
      </c>
      <c r="B46" s="109"/>
      <c r="C46" s="109"/>
      <c r="D46" s="161"/>
      <c r="E46" s="45"/>
      <c r="F46" s="34"/>
      <c r="G46" s="181">
        <f>IF(G$12&lt;0.9*G$19,IF(V15&gt;2,MIN(SUM(G28:G34),8*Data!C6),0),0)</f>
        <v>0</v>
      </c>
      <c r="H46" s="35"/>
      <c r="I46" s="33"/>
      <c r="J46" s="182"/>
      <c r="K46" s="181"/>
      <c r="L46" s="183"/>
      <c r="M46" s="32"/>
      <c r="N46" s="34"/>
      <c r="O46" s="183">
        <f>IF(O12&lt;0.9*O19,IF(W15&gt;2,MIN(SUM(O28:O34),3*Data!D$5),0),0)</f>
        <v>0</v>
      </c>
      <c r="P46" s="32"/>
      <c r="Q46" s="182"/>
      <c r="R46" s="183"/>
    </row>
    <row r="47" spans="1:28" x14ac:dyDescent="0.2">
      <c r="A47" s="165" t="s">
        <v>24</v>
      </c>
      <c r="B47" s="109"/>
      <c r="C47" s="109"/>
      <c r="D47" s="161"/>
      <c r="E47" s="45"/>
      <c r="F47" s="155">
        <f>SUM(F43:F46)</f>
        <v>0</v>
      </c>
      <c r="G47" s="179">
        <f t="shared" ref="G47:R47" ca="1" si="1">SUM(G43:G46)</f>
        <v>0</v>
      </c>
      <c r="H47" s="180">
        <f t="shared" ca="1" si="1"/>
        <v>0</v>
      </c>
      <c r="I47" s="178">
        <f>SUM(I43:I46)</f>
        <v>0</v>
      </c>
      <c r="J47" s="155">
        <f ca="1">SUM(J43:J46)</f>
        <v>0</v>
      </c>
      <c r="K47" s="179">
        <f ca="1">SUM(K43:K46)</f>
        <v>0</v>
      </c>
      <c r="L47" s="180">
        <f ca="1">SUM(L43:L46)</f>
        <v>0</v>
      </c>
      <c r="M47" s="178">
        <f t="shared" si="1"/>
        <v>0</v>
      </c>
      <c r="N47" s="155">
        <f t="shared" si="1"/>
        <v>0</v>
      </c>
      <c r="O47" s="180">
        <f t="shared" ca="1" si="1"/>
        <v>0</v>
      </c>
      <c r="P47" s="178"/>
      <c r="Q47" s="155">
        <f t="shared" ca="1" si="1"/>
        <v>0</v>
      </c>
      <c r="R47" s="180">
        <f t="shared" ca="1" si="1"/>
        <v>0</v>
      </c>
    </row>
    <row r="48" spans="1:28" ht="13.5" thickBot="1" x14ac:dyDescent="0.25">
      <c r="A48" s="311" t="s">
        <v>103</v>
      </c>
      <c r="B48" s="184"/>
      <c r="C48" s="185"/>
      <c r="D48" s="186"/>
      <c r="E48" s="45"/>
      <c r="F48" s="187">
        <f>SUM(F43:F46)-F41-F24</f>
        <v>0</v>
      </c>
      <c r="G48" s="188">
        <f ca="1">SUM(G43:G46)-G41-G24</f>
        <v>0</v>
      </c>
      <c r="H48" s="189">
        <f ca="1">SUM(H43:H46)-H41-H24</f>
        <v>0</v>
      </c>
      <c r="I48" s="190"/>
      <c r="J48" s="187">
        <f ca="1">SUM(J43:J46)-J41-J24</f>
        <v>0</v>
      </c>
      <c r="K48" s="188">
        <f ca="1">SUM(K43:K46)-K41-K24</f>
        <v>0</v>
      </c>
      <c r="L48" s="189">
        <f ca="1">SUM(L43:L46)-L41-L24</f>
        <v>0</v>
      </c>
      <c r="M48" s="191"/>
      <c r="N48" s="187">
        <f>SUM(N43:N46)-N41-N24</f>
        <v>0</v>
      </c>
      <c r="O48" s="189">
        <f ca="1">SUM(O43:O46)-O41-O24</f>
        <v>0</v>
      </c>
      <c r="P48" s="191"/>
      <c r="Q48" s="187">
        <f ca="1">SUM(Q43:Q46)-Q41-Q24</f>
        <v>0</v>
      </c>
      <c r="R48" s="189">
        <f ca="1">SUM(R43:R46)-R41-R24</f>
        <v>0</v>
      </c>
    </row>
    <row r="49" spans="1:28" ht="11.1" customHeight="1" x14ac:dyDescent="0.2">
      <c r="A49" s="29"/>
      <c r="B49" s="29"/>
    </row>
    <row r="50" spans="1:28" ht="11.1" customHeight="1" x14ac:dyDescent="0.2">
      <c r="A50" s="29"/>
      <c r="B50" s="29"/>
      <c r="E50" s="36"/>
      <c r="F50" s="308"/>
      <c r="G50" s="36"/>
      <c r="H50" s="310"/>
    </row>
    <row r="51" spans="1:28" x14ac:dyDescent="0.2">
      <c r="A51" s="245" t="s">
        <v>119</v>
      </c>
      <c r="B51" s="334"/>
      <c r="C51" s="192"/>
      <c r="D51" s="193"/>
      <c r="E51" s="250"/>
      <c r="F51" s="309"/>
      <c r="G51" s="250"/>
      <c r="H51" s="88"/>
    </row>
    <row r="52" spans="1:28" x14ac:dyDescent="0.2">
      <c r="A52" s="269" t="s">
        <v>47</v>
      </c>
      <c r="B52" s="44"/>
      <c r="C52" s="45"/>
      <c r="D52" s="45"/>
      <c r="E52" s="36"/>
      <c r="F52" s="36"/>
      <c r="G52" s="36"/>
      <c r="H52" s="45"/>
    </row>
    <row r="53" spans="1:28" x14ac:dyDescent="0.2">
      <c r="A53" s="194" t="s">
        <v>48</v>
      </c>
      <c r="B53" s="194"/>
      <c r="E53" s="36"/>
      <c r="F53" s="251"/>
      <c r="G53" s="252"/>
      <c r="H53" s="45"/>
    </row>
    <row r="54" spans="1:28" x14ac:dyDescent="0.2">
      <c r="A54" s="345">
        <f ca="1">TODAY()</f>
        <v>43608</v>
      </c>
      <c r="B54" s="345"/>
      <c r="C54" s="345"/>
      <c r="D54" s="45"/>
      <c r="E54" s="253"/>
      <c r="F54" s="252"/>
      <c r="G54" s="252"/>
      <c r="H54" s="45"/>
    </row>
    <row r="55" spans="1:28" x14ac:dyDescent="0.2">
      <c r="A55" s="243" t="str">
        <f>CONCATENATE(4,"/",16,"/",YEAR(C14))</f>
        <v>4/16/2019</v>
      </c>
      <c r="F55" s="208"/>
      <c r="G55" s="208"/>
    </row>
    <row r="56" spans="1:28" x14ac:dyDescent="0.2">
      <c r="A56" s="94"/>
      <c r="B56" s="94"/>
      <c r="C56" s="95"/>
      <c r="D56" s="95"/>
      <c r="E56" s="95"/>
      <c r="F56" s="95"/>
      <c r="G56" s="95"/>
      <c r="H56" s="95"/>
      <c r="I56" s="95"/>
      <c r="J56" s="95"/>
      <c r="K56" s="95"/>
      <c r="L56" s="95"/>
      <c r="M56" s="95"/>
      <c r="N56" s="95"/>
      <c r="O56" s="95"/>
      <c r="P56" s="95"/>
      <c r="Q56" s="95"/>
      <c r="R56" s="95"/>
    </row>
    <row r="57" spans="1:28" ht="12.95" customHeight="1" x14ac:dyDescent="0.2">
      <c r="A57" s="351" t="s">
        <v>93</v>
      </c>
      <c r="B57" s="351"/>
      <c r="C57" s="351"/>
      <c r="D57" s="351"/>
      <c r="E57" s="351"/>
      <c r="F57" s="351"/>
      <c r="G57" s="351"/>
      <c r="H57" s="351"/>
      <c r="I57" s="351"/>
      <c r="J57" s="351"/>
      <c r="K57" s="351"/>
      <c r="L57" s="351"/>
      <c r="M57" s="351"/>
      <c r="N57" s="351"/>
      <c r="O57" s="204"/>
      <c r="P57" s="204"/>
      <c r="Q57" s="204"/>
      <c r="R57" s="204"/>
    </row>
    <row r="58" spans="1:28" x14ac:dyDescent="0.2">
      <c r="A58" s="351"/>
      <c r="B58" s="351"/>
      <c r="C58" s="351"/>
      <c r="D58" s="351"/>
      <c r="E58" s="351"/>
      <c r="F58" s="351"/>
      <c r="G58" s="351"/>
      <c r="H58" s="351"/>
      <c r="I58" s="351"/>
      <c r="J58" s="351"/>
      <c r="K58" s="351"/>
      <c r="L58" s="351"/>
      <c r="M58" s="351"/>
      <c r="N58" s="351"/>
      <c r="O58" s="204"/>
      <c r="P58" s="204"/>
      <c r="Q58" s="204"/>
      <c r="R58" s="204"/>
    </row>
    <row r="59" spans="1:28" x14ac:dyDescent="0.2">
      <c r="A59" s="351"/>
      <c r="B59" s="351"/>
      <c r="C59" s="351"/>
      <c r="D59" s="351"/>
      <c r="E59" s="351"/>
      <c r="F59" s="351"/>
      <c r="G59" s="351"/>
      <c r="H59" s="351"/>
      <c r="I59" s="351"/>
      <c r="J59" s="351"/>
      <c r="K59" s="351"/>
      <c r="L59" s="351"/>
      <c r="M59" s="351"/>
      <c r="N59" s="351"/>
      <c r="O59" s="351"/>
      <c r="P59" s="351"/>
      <c r="Q59" s="351"/>
      <c r="R59" s="351"/>
    </row>
    <row r="60" spans="1:28" ht="15.75" thickBot="1" x14ac:dyDescent="0.3">
      <c r="A60" s="195"/>
      <c r="B60" s="195"/>
      <c r="C60" s="195"/>
      <c r="D60" s="257"/>
      <c r="E60" s="195"/>
      <c r="F60" s="173" t="s">
        <v>103</v>
      </c>
      <c r="G60" s="195"/>
      <c r="H60" s="195"/>
      <c r="I60" s="195"/>
      <c r="J60" s="195"/>
      <c r="K60" s="195"/>
      <c r="L60" s="195"/>
      <c r="M60" s="195"/>
      <c r="N60" s="195"/>
      <c r="O60" s="195"/>
      <c r="P60" s="195"/>
      <c r="Q60" s="195"/>
      <c r="R60" s="195"/>
      <c r="U60" s="39"/>
      <c r="V60" s="39"/>
      <c r="W60" s="39"/>
      <c r="X60" s="39"/>
      <c r="Y60" s="39"/>
      <c r="Z60" s="39"/>
      <c r="AA60" s="39"/>
      <c r="AB60" s="39"/>
    </row>
    <row r="61" spans="1:28" x14ac:dyDescent="0.2">
      <c r="A61" s="22" t="s">
        <v>71</v>
      </c>
      <c r="B61" s="258"/>
      <c r="C61" s="259" t="s">
        <v>0</v>
      </c>
      <c r="D61" s="260"/>
      <c r="E61" s="259" t="s">
        <v>1</v>
      </c>
      <c r="F61" s="352" t="s">
        <v>5</v>
      </c>
      <c r="G61" s="353"/>
      <c r="H61" s="354"/>
      <c r="I61" s="72"/>
      <c r="J61" s="355" t="s">
        <v>13</v>
      </c>
      <c r="K61" s="356"/>
      <c r="L61" s="357"/>
      <c r="M61" s="292"/>
      <c r="N61" s="355" t="s">
        <v>11</v>
      </c>
      <c r="O61" s="357"/>
      <c r="P61" s="73"/>
      <c r="Q61" s="355" t="s">
        <v>12</v>
      </c>
      <c r="R61" s="357"/>
      <c r="U61" s="39"/>
      <c r="V61" s="39"/>
      <c r="W61" s="39"/>
      <c r="X61" s="39"/>
      <c r="Y61" s="39"/>
      <c r="Z61" s="39"/>
      <c r="AA61" s="39"/>
      <c r="AB61" s="39"/>
    </row>
    <row r="62" spans="1:28" ht="12.75" customHeight="1" x14ac:dyDescent="0.2">
      <c r="A62" s="291" t="s">
        <v>101</v>
      </c>
      <c r="B62" s="96" t="s">
        <v>0</v>
      </c>
      <c r="C62" s="96" t="s">
        <v>65</v>
      </c>
      <c r="D62" s="96" t="s">
        <v>37</v>
      </c>
      <c r="E62" s="96" t="s">
        <v>67</v>
      </c>
      <c r="F62" s="346" t="s">
        <v>72</v>
      </c>
      <c r="G62" s="347" t="s">
        <v>39</v>
      </c>
      <c r="H62" s="348" t="s">
        <v>41</v>
      </c>
      <c r="I62" s="277"/>
      <c r="J62" s="349" t="s">
        <v>43</v>
      </c>
      <c r="K62" s="350" t="s">
        <v>10</v>
      </c>
      <c r="L62" s="358" t="s">
        <v>44</v>
      </c>
      <c r="M62" s="161"/>
      <c r="N62" s="349" t="s">
        <v>70</v>
      </c>
      <c r="O62" s="358" t="s">
        <v>42</v>
      </c>
      <c r="P62" s="278"/>
      <c r="Q62" s="349" t="s">
        <v>43</v>
      </c>
      <c r="R62" s="342" t="s">
        <v>10</v>
      </c>
      <c r="U62" s="39"/>
      <c r="V62" s="39"/>
      <c r="W62" s="39"/>
      <c r="X62" s="39"/>
      <c r="Y62" s="39"/>
      <c r="Z62" s="39"/>
      <c r="AA62" s="39"/>
      <c r="AB62" s="39"/>
    </row>
    <row r="63" spans="1:28" x14ac:dyDescent="0.2">
      <c r="A63" s="261" t="s">
        <v>34</v>
      </c>
      <c r="B63" s="97" t="s">
        <v>38</v>
      </c>
      <c r="C63" s="97" t="s">
        <v>66</v>
      </c>
      <c r="D63" s="97" t="s">
        <v>38</v>
      </c>
      <c r="E63" s="98" t="s">
        <v>66</v>
      </c>
      <c r="F63" s="346"/>
      <c r="G63" s="347"/>
      <c r="H63" s="348"/>
      <c r="I63" s="277"/>
      <c r="J63" s="349"/>
      <c r="K63" s="350"/>
      <c r="L63" s="358"/>
      <c r="M63" s="161"/>
      <c r="N63" s="349"/>
      <c r="O63" s="358"/>
      <c r="P63" s="278"/>
      <c r="Q63" s="349"/>
      <c r="R63" s="342"/>
      <c r="U63" s="39"/>
      <c r="V63" s="39"/>
      <c r="W63" s="39"/>
      <c r="X63" s="39"/>
      <c r="Y63" s="39"/>
      <c r="Z63" s="39"/>
      <c r="AA63" s="39"/>
      <c r="AB63" s="39"/>
    </row>
    <row r="64" spans="1:28" x14ac:dyDescent="0.2">
      <c r="A64" s="262">
        <f>DATEVALUE(A55)</f>
        <v>43571</v>
      </c>
      <c r="B64" s="203">
        <f ca="1">MAX(MIN((Data!C$33+Data!D$33*(A64-Data!C$20)+Data!E$33*(A64-Data!C$20)^2)/100,1),0)*C$11</f>
        <v>0</v>
      </c>
      <c r="C64" s="196">
        <v>1</v>
      </c>
      <c r="D64" s="209">
        <f ca="1">MIN(1,MAX(CHOOSE(V$14,Data!C$27,Data!C$28,Data!C$29)+CHOOSE(V$14,Data!D$27,Data!D$28,Data!D$29)*(A64-Data!D$20)-CHOOSE(V$14,Data!E$27,Data!E$28,Data!E$29)*((A64-Data!D$20)^2),0))*D$11</f>
        <v>0</v>
      </c>
      <c r="E64" s="197">
        <v>1</v>
      </c>
      <c r="F64" s="315">
        <f>F$43+IF($F$12&lt;0.9*$F$19,IF(A64&lt;Data!$C$13+11,0,MAX(CHOOSE(V$15,0,(F$19*F$23-F$12)*F$21,(F$19*F$23-F$12)*F$21,(F$19*MAX(F$21,C$10)*F$23-F$12*$C$10),(F$19*F$21*F$23-F$12*$C$10)),0))-F$41-F$24)</f>
        <v>0</v>
      </c>
      <c r="G64" s="316">
        <f ca="1">C$9*B64+MAX(CHOOSE(V$15,0,(G$19*G$23-B64)*G$21,(G$19*G$23-B64)*G$21,(G$19*G$21*G$23-B64*$C$10),(G$19*G$21*G$23-B64*$C$10)),0)+IF(G$12&lt;0.9*G$19,MIN(SUM(G$28:G$34),8*Data!C$6),0)-SUM(G$28:G$39)-C$40*B64-G$24</f>
        <v>0</v>
      </c>
      <c r="H64" s="317">
        <f ca="1">D64*D$9+IF(0.65*H$44&gt;IF(H$35&gt;0,CHOOSE(W$15,0,(H$19*H$23-D64)*H$21,(H$19*H$23-D64)*H$21,(H$19*MAX(H$21,D$10)*$H$23-D64*D$10),(H$19*H$21*H$23-D64*D$10)),0),H$44,0.35*H$44+0.35*C$24)+IF(H$35&gt;0,IF(MAX(CHOOSE($W$15,0,(H$19*H$23-D64)*H$21,(H$19*H$23-D64)*H$21,(H$19*MAX(H$21,$D$10)*H$23-D64*$D$10),(H$19*H$21*H$23-D64*$D$10)),0)&gt;0.65*H$44,MAX(CHOOSE($W$15,0,(H$19*H$23-D64)*H$21,(H$19*H$23-D64)*H$21,(H$19*MAX(H$21,$D$10)*H$23-D64*$D$10),(H$19*H$21*H$23-D64*$D$10)),0),0),0)-SUM(H$28:H$39)-D$40*D64-$H$24</f>
        <v>0</v>
      </c>
      <c r="I64" s="318"/>
      <c r="J64" s="319" t="str">
        <f ca="1">IF($A64&gt;Data!C$13,0.55*J$19*J$21*C$22-J$41-J$24,"too early")</f>
        <v>too early</v>
      </c>
      <c r="K64" s="320">
        <f ca="1">B64*$C$9+MAX(CHOOSE($V$15,0,(K$19*C$22*C64-B64)*K$21,(K$19*C$22*C64-B64)*K$21,(K$19*MAX(K$21,$C$10)*C$22*C64-B64*$C$10),(K$19*K$21*C$22*C64-B64*$C$10)),0)-SUM(K$28:K$39)-B64*C$40-K$24</f>
        <v>0</v>
      </c>
      <c r="L64" s="314">
        <f ca="1">D64*D$9+IF(A64&gt;Data!C$13+25,0.55*J$19*J$21*C$22*0.35+0.35*C$24,0)+IF(L$35&gt;0,MAX(CHOOSE($W$15,0,(L$19*D$22*E64-D64)*L$21,(L$19*D$22*E64-D64)*L$21,(L$19*MAX(L$21,$D$10)*D$22*E64-D64*$D$10),(L$19*L$21*D$22*E64-D64*$D$10)),0),0)-SUM(L$28:L$39)-D64*D$40-L$24</f>
        <v>0</v>
      </c>
      <c r="M64" s="321"/>
      <c r="N64" s="322">
        <f>N$43+IF($N$12&lt;0.9*$N$19,IF($A64&lt;Data!$D$13+11,0,MAX(CHOOSE(W$15,0,(N$19*N$23-N$12)*N$21*(N$19*N$23-N$12)*N$21,(N$19*MAX(N$21,D$10)*N$23-N$12*$D$10),(N$19*N$21*N$23-N$12*$D$10)),0))-N$41-N$24)</f>
        <v>0</v>
      </c>
      <c r="O64" s="323">
        <f ca="1">D$9*D64+MAX(CHOOSE(W$15,0,(O$19*O$23-D64)*O$21,(O$19*O$23-D64)*O$21,(O$19*MAX(O$21,$D$10)*O$23-D64*$D$10),(O$19*O$21*O$23-D64*$D$10)),0)+IF(O$12&lt;0.9*O$19,MIN(SUM(O$28:O$34),3*Data!D$5),0)-SUM(O$28:O$39)-D64*D$40-O$24</f>
        <v>0</v>
      </c>
      <c r="P64" s="318"/>
      <c r="Q64" s="313" t="str">
        <f ca="1">IF($A64&gt;Data!D$13,0.6*Q$19*Q$21*D$22-Q$41-Q$24,"too early")</f>
        <v>too early</v>
      </c>
      <c r="R64" s="314">
        <f ca="1">D64*$D$9+MAX(CHOOSE($W$15,0,(R$19*D$22*E64-D64)*R$21,(R$19*D$22*E64-D64)*R$21,(R$19*MAX(R$21,$D$10)*D$22*E64-D64*$D$10),(R$19*R$21*D$22*E64-D64*$D$10)),0)-SUM(R$28:R$39)-D64*D$40-R$24</f>
        <v>0</v>
      </c>
      <c r="U64" s="39"/>
      <c r="V64" s="39"/>
      <c r="W64" s="39"/>
      <c r="X64" s="39"/>
      <c r="Y64" s="39"/>
      <c r="Z64" s="39"/>
      <c r="AA64" s="39"/>
      <c r="AB64" s="39"/>
    </row>
    <row r="65" spans="1:28" x14ac:dyDescent="0.2">
      <c r="A65" s="262">
        <f>A64+7</f>
        <v>43578</v>
      </c>
      <c r="B65" s="203">
        <f ca="1">MAX(MIN((Data!C$33+Data!D$33*(A65-Data!C$20)+Data!E$33*(A65-Data!C$20)^2)/100,1),0)*C$11</f>
        <v>0</v>
      </c>
      <c r="C65" s="196">
        <v>1</v>
      </c>
      <c r="D65" s="209">
        <f ca="1">MIN(1,MAX(CHOOSE(V$14,Data!C$27,Data!C$28,Data!C$29)+CHOOSE(V$14,Data!D$27,Data!D$28,Data!D$29)*(A65-Data!D$20)-CHOOSE(V$14,Data!E$27,Data!E$28,Data!E$29)*((A65-Data!D$20)^2),0))*D$11</f>
        <v>0</v>
      </c>
      <c r="E65" s="197">
        <v>1</v>
      </c>
      <c r="F65" s="315">
        <f>F$43+IF($F$12&lt;0.9*$F$19,IF(A65&lt;Data!$C$13+11,0,MAX(CHOOSE(V$15,0,(F$19*F$23-F$12)*F$21,(F$19*F$23-F$12)*F$21,(F$19*MAX(F$21,C$10)*F$23-F$12*$C$10),(F$19*F$21*F$23-F$12*$C$10)),0))-F$41-F$24)</f>
        <v>0</v>
      </c>
      <c r="G65" s="316">
        <f ca="1">C$9*B65+MAX(CHOOSE(V$15,0,(G$19*G$23-B65)*G$21,(G$19*G$23-B65)*G$21,(G$19*G$21*G$23-B65*$C$10),(G$19*G$21*G$23-B65*$C$10)),0)+IF(G$12&lt;0.9*G$19,MIN(SUM(G$28:G$34),8*Data!C$6),0)-SUM(G$28:G$39)-C$40*B65-G$24</f>
        <v>0</v>
      </c>
      <c r="H65" s="317">
        <f t="shared" ref="H65:H76" ca="1" si="2">D65*D$9+IF(0.65*H$44&gt;IF(H$35&gt;0,CHOOSE(W$15,0,(H$19*H$23-D65)*H$21,(H$19*H$23-D65)*H$21,(H$19*MAX(H$21,D$10)*$H$23-D65*D$10),(H$19*H$21*H$23-D65*D$10)),0),H$44,0.35*H$44+0.35*C$24)+IF(H$35&gt;0,IF(MAX(CHOOSE($W$15,0,(H$19*H$23-D65)*H$21,(H$19*H$23-D65)*H$21,(H$19*MAX(H$21,$D$10)*H$23-D65*$D$10),(H$19*H$21*H$23-D65*$D$10)),0)&gt;0.65*H$44,MAX(CHOOSE($W$15,0,(H$19*H$23-D65)*H$21,(H$19*H$23-D65)*H$21,(H$19*MAX(H$21,$D$10)*H$23-D65*$D$10),(H$19*H$21*H$23-D65*$D$10)),0),0),0)-SUM(H$28:H$39)-D$40*D65-$H$24</f>
        <v>0</v>
      </c>
      <c r="I65" s="318"/>
      <c r="J65" s="319" t="str">
        <f ca="1">IF($A65&gt;Data!C$13,0.55*J$19*J$21*C$22-J$41-J$24,"too early")</f>
        <v>too early</v>
      </c>
      <c r="K65" s="320">
        <f t="shared" ref="K65:K76" ca="1" si="3">B65*$C$9+MAX(CHOOSE($V$15,0,(K$19*C$22*C65-B65)*K$21,(K$19*C$22*C65-B65)*K$21,(K$19*MAX(K$21,$C$10)*C$22*C65-B65*$C$10),(K$19*K$21*C$22*C65-B65*$C$10)),0)-SUM(K$28:K$39)-B65*C$40-K$24</f>
        <v>0</v>
      </c>
      <c r="L65" s="314">
        <f ca="1">D65*D$9+IF(A65&gt;Data!C$13+25,0.55*J$19*J$21*C$22*0.35+0.35*C$24,0)+IF(L$35&gt;0,MAX(CHOOSE($W$15,0,(L$19*D$22*E65-D65)*L$21,(L$19*D$22*E65-D65)*L$21,(L$19*MAX(L$21,$D$10)*D$22*E65-D65*$D$10),(L$19*L$21*D$22*E65-D65*$D$10)),0),0)-SUM(L$28:L$39)-D65*D$40-L$24</f>
        <v>0</v>
      </c>
      <c r="M65" s="321"/>
      <c r="N65" s="322">
        <f>N$43+IF($N$12&lt;0.9*$N$19,IF($A65&lt;Data!$D$13+11,0,MAX(CHOOSE(W$15,0,(N$19*N$23-N$12)*N$21*(N$19*N$23-N$12)*N$21,(N$19*MAX(N$21,D$10)*N$23-N$12*$D$10),(N$19*N$21*N$23-N$12*$D$10)),0))-N$41-N$24)</f>
        <v>0</v>
      </c>
      <c r="O65" s="323">
        <f ca="1">D$9*D65+MAX(CHOOSE(W$15,0,(O$19*O$23-D65)*O$21,(O$19*O$23-D65)*O$21,(O$19*MAX(O$21,$D$10)*O$23-D65*$D$10),(O$19*O$21*O$23-D65*$D$10)),0)+IF(O$12&lt;0.9*O$19,MIN(SUM(O$28:O$34),3*Data!D$5),0)-SUM(O$28:O$39)-D65*D$40-O$24</f>
        <v>0</v>
      </c>
      <c r="P65" s="318"/>
      <c r="Q65" s="313" t="str">
        <f ca="1">IF($A65&gt;Data!D$13,0.6*Q$19*Q$21*D$22-Q$41-Q$24,"too early")</f>
        <v>too early</v>
      </c>
      <c r="R65" s="314">
        <f t="shared" ref="R65:R76" ca="1" si="4">D65*$D$9+MAX(CHOOSE($W$15,0,(R$19*D$22*E65-D65)*R$21,(R$19*D$22*E65-D65)*R$21,(R$19*MAX(R$21,$D$10)*D$22*E65-D65*$D$10),(R$19*R$21*D$22*E65-D65*$D$10)),0)-SUM(R$28:R$39)-D65*D$40-R$24</f>
        <v>0</v>
      </c>
      <c r="U65" s="39"/>
      <c r="V65" s="39"/>
      <c r="W65" s="39"/>
      <c r="X65" s="39"/>
      <c r="Y65" s="39"/>
      <c r="Z65" s="39"/>
      <c r="AA65" s="39"/>
      <c r="AB65" s="39"/>
    </row>
    <row r="66" spans="1:28" x14ac:dyDescent="0.2">
      <c r="A66" s="262">
        <f t="shared" ref="A66:A76" si="5">A65+7</f>
        <v>43585</v>
      </c>
      <c r="B66" s="203">
        <f ca="1">MAX(MIN((Data!C$33+Data!D$33*(A66-Data!C$20)+Data!E$33*(A66-Data!C$20)^2)/100,1),0)*C$11</f>
        <v>0</v>
      </c>
      <c r="C66" s="196">
        <v>1</v>
      </c>
      <c r="D66" s="209">
        <f ca="1">MIN(1,MAX(CHOOSE(V$14,Data!C$27,Data!C$28,Data!C$29)+CHOOSE(V$14,Data!D$27,Data!D$28,Data!D$29)*(A66-Data!D$20)-CHOOSE(V$14,Data!E$27,Data!E$28,Data!E$29)*((A66-Data!D$20)^2),0))*D$11</f>
        <v>0</v>
      </c>
      <c r="E66" s="197">
        <v>1</v>
      </c>
      <c r="F66" s="315">
        <f>F$43+IF($F$12&lt;0.9*$F$19,IF(A66&lt;Data!$C$13+11,0,MAX(CHOOSE(V$15,0,(F$19*F$23-F$12)*F$21,(F$19*F$23-F$12)*F$21,(F$19*MAX(F$21,C$10)*F$23-F$12*$C$10),(F$19*F$21*F$23-F$12*$C$10)),0))-F$41-F$24)</f>
        <v>0</v>
      </c>
      <c r="G66" s="316">
        <f ca="1">C$9*B66+MAX(CHOOSE(V$15,0,(G$19*G$23-B66)*G$21,(G$19*G$23-B66)*G$21,(G$19*G$21*G$23-B66*$C$10),(G$19*G$21*G$23-B66*$C$10)),0)+IF(G$12&lt;0.9*G$19,MIN(SUM(G$28:G$34),8*Data!C$6),0)-SUM(G$28:G$39)-C$40*B66-G$24</f>
        <v>0</v>
      </c>
      <c r="H66" s="317">
        <f t="shared" ca="1" si="2"/>
        <v>0</v>
      </c>
      <c r="I66" s="318"/>
      <c r="J66" s="319" t="str">
        <f ca="1">IF($A66&gt;Data!C$13,0.55*J$19*J$21*C$22-J$41-J$24,"too early")</f>
        <v>too early</v>
      </c>
      <c r="K66" s="320">
        <f t="shared" ca="1" si="3"/>
        <v>0</v>
      </c>
      <c r="L66" s="314">
        <f ca="1">D66*D$9+IF(A66&gt;Data!C$13+25,0.55*J$19*J$21*C$22*0.35+0.35*C$24,0)+IF(L$35&gt;0,MAX(CHOOSE($W$15,0,(L$19*D$22*E66-D66)*L$21,(L$19*D$22*E66-D66)*L$21,(L$19*MAX(L$21,$D$10)*D$22*E66-D66*$D$10),(L$19*L$21*D$22*E66-D66*$D$10)),0),0)-SUM(L$28:L$39)-D66*D$40-L$24</f>
        <v>0</v>
      </c>
      <c r="M66" s="321"/>
      <c r="N66" s="322">
        <f>N$43+IF($N$12&lt;0.9*$N$19,IF($A66&lt;Data!$D$13+11,0,MAX(CHOOSE(W$15,0,(N$19*N$23-N$12)*N$21*(N$19*N$23-N$12)*N$21,(N$19*MAX(N$21,D$10)*N$23-N$12*$D$10),(N$19*N$21*N$23-N$12*$D$10)),0))-N$41-N$24)</f>
        <v>0</v>
      </c>
      <c r="O66" s="323">
        <f ca="1">D$9*D66+MAX(CHOOSE(W$15,0,(O$19*O$23-D66)*O$21,(O$19*O$23-D66)*O$21,(O$19*MAX(O$21,$D$10)*O$23-D66*$D$10),(O$19*O$21*O$23-D66*$D$10)),0)+IF(O$12&lt;0.9*O$19,MIN(SUM(O$28:O$34),3*Data!D$5),0)-SUM(O$28:O$39)-D66*D$40-O$24</f>
        <v>0</v>
      </c>
      <c r="P66" s="318"/>
      <c r="Q66" s="313" t="str">
        <f ca="1">IF($A66&gt;Data!D$13,0.6*Q$19*Q$21*D$22-Q$41-Q$24,"too early")</f>
        <v>too early</v>
      </c>
      <c r="R66" s="314">
        <f t="shared" ca="1" si="4"/>
        <v>0</v>
      </c>
      <c r="U66" s="39"/>
      <c r="V66" s="39"/>
      <c r="W66" s="39"/>
      <c r="X66" s="39"/>
      <c r="Y66" s="39"/>
      <c r="Z66" s="39"/>
      <c r="AA66" s="39"/>
      <c r="AB66" s="39"/>
    </row>
    <row r="67" spans="1:28" x14ac:dyDescent="0.2">
      <c r="A67" s="262">
        <f t="shared" si="5"/>
        <v>43592</v>
      </c>
      <c r="B67" s="203">
        <f ca="1">MAX(MIN((Data!C$33+Data!D$33*(A67-Data!C$20)+Data!E$33*(A67-Data!C$20)^2)/100,1),0)*C$11</f>
        <v>0</v>
      </c>
      <c r="C67" s="196">
        <v>1</v>
      </c>
      <c r="D67" s="209">
        <f ca="1">MIN(1,MAX(CHOOSE(V$14,Data!C$27,Data!C$28,Data!C$29)+CHOOSE(V$14,Data!D$27,Data!D$28,Data!D$29)*(A67-Data!D$20)-CHOOSE(V$14,Data!E$27,Data!E$28,Data!E$29)*((A67-Data!D$20)^2),0))*D$11</f>
        <v>0</v>
      </c>
      <c r="E67" s="197">
        <v>1</v>
      </c>
      <c r="F67" s="315">
        <f>F$43+IF($F$12&lt;0.9*$F$19,IF(A67&lt;Data!$C$13+11,0,MAX(CHOOSE(V$15,0,(F$19*F$23-F$12)*F$21,(F$19*F$23-F$12)*F$21,(F$19*MAX(F$21,C$10)*F$23-F$12*$C$10),(F$19*F$21*F$23-F$12*$C$10)),0))-F$41-F$24)</f>
        <v>0</v>
      </c>
      <c r="G67" s="316">
        <f ca="1">C$9*B67+MAX(CHOOSE(V$15,0,(G$19*G$23-B67)*G$21,(G$19*G$23-B67)*G$21,(G$19*G$21*G$23-B67*$C$10),(G$19*G$21*G$23-B67*$C$10)),0)+IF(G$12&lt;0.9*G$19,MIN(SUM(G$28:G$34),8*Data!C$6),0)-SUM(G$28:G$39)-C$40*B67-G$24</f>
        <v>0</v>
      </c>
      <c r="H67" s="317">
        <f t="shared" ca="1" si="2"/>
        <v>0</v>
      </c>
      <c r="I67" s="318"/>
      <c r="J67" s="319" t="str">
        <f ca="1">IF($A67&gt;Data!C$13,0.55*J$19*J$21*C$22-J$41-J$24,"too early")</f>
        <v>too early</v>
      </c>
      <c r="K67" s="320">
        <f t="shared" ca="1" si="3"/>
        <v>0</v>
      </c>
      <c r="L67" s="314">
        <f ca="1">D67*D$9+IF(A67&gt;Data!C$13+25,0.55*J$19*J$21*C$22*0.35+0.35*C$24,0)+IF(L$35&gt;0,MAX(CHOOSE($W$15,0,(L$19*D$22*E67-D67)*L$21,(L$19*D$22*E67-D67)*L$21,(L$19*MAX(L$21,$D$10)*D$22*E67-D67*$D$10),(L$19*L$21*D$22*E67-D67*$D$10)),0),0)-SUM(L$28:L$39)-D67*D$40-L$24</f>
        <v>0</v>
      </c>
      <c r="M67" s="321"/>
      <c r="N67" s="322">
        <f>N$43+IF($N$12&lt;0.9*$N$19,IF($A67&lt;Data!$D$13+11,0,MAX(CHOOSE(W$15,0,(N$19*N$23-N$12)*N$21*(N$19*N$23-N$12)*N$21,(N$19*MAX(N$21,D$10)*N$23-N$12*$D$10),(N$19*N$21*N$23-N$12*$D$10)),0))-N$41-N$24)</f>
        <v>0</v>
      </c>
      <c r="O67" s="323">
        <f ca="1">D$9*D67+MAX(CHOOSE(W$15,0,(O$19*O$23-D67)*O$21,(O$19*O$23-D67)*O$21,(O$19*MAX(O$21,$D$10)*O$23-D67*$D$10),(O$19*O$21*O$23-D67*$D$10)),0)+IF(O$12&lt;0.9*O$19,MIN(SUM(O$28:O$34),3*Data!D$5),0)-SUM(O$28:O$39)-D67*D$40-O$24</f>
        <v>0</v>
      </c>
      <c r="P67" s="318"/>
      <c r="Q67" s="313" t="str">
        <f ca="1">IF($A67&gt;Data!D$13,0.6*Q$19*Q$21*D$22-Q$41-Q$24,"too early")</f>
        <v>too early</v>
      </c>
      <c r="R67" s="314">
        <f t="shared" ca="1" si="4"/>
        <v>0</v>
      </c>
      <c r="U67" s="39"/>
      <c r="V67" s="39"/>
      <c r="W67" s="39"/>
      <c r="X67" s="39"/>
      <c r="Y67" s="39"/>
      <c r="Z67" s="39"/>
      <c r="AA67" s="39"/>
      <c r="AB67" s="39"/>
    </row>
    <row r="68" spans="1:28" x14ac:dyDescent="0.2">
      <c r="A68" s="262">
        <f t="shared" si="5"/>
        <v>43599</v>
      </c>
      <c r="B68" s="203">
        <f ca="1">MAX(MIN((Data!C$33+Data!D$33*(A68-Data!C$20)+Data!E$33*(A68-Data!C$20)^2)/100,1),0)*C$11</f>
        <v>0</v>
      </c>
      <c r="C68" s="196">
        <v>1</v>
      </c>
      <c r="D68" s="209">
        <f ca="1">MIN(1,MAX(CHOOSE(V$14,Data!C$27,Data!C$28,Data!C$29)+CHOOSE(V$14,Data!D$27,Data!D$28,Data!D$29)*(A68-Data!D$20)-CHOOSE(V$14,Data!E$27,Data!E$28,Data!E$29)*((A68-Data!D$20)^2),0))*D$11</f>
        <v>0</v>
      </c>
      <c r="E68" s="197">
        <v>1</v>
      </c>
      <c r="F68" s="315">
        <f>F$43+IF($F$12&lt;0.9*$F$19,IF(A68&lt;Data!$C$13+11,0,MAX(CHOOSE(V$15,0,(F$19*F$23-F$12)*F$21,(F$19*F$23-F$12)*F$21,(F$19*MAX(F$21,C$10)*F$23-F$12*$C$10),(F$19*F$21*F$23-F$12*$C$10)),0))-F$41-F$24)</f>
        <v>0</v>
      </c>
      <c r="G68" s="316">
        <f ca="1">C$9*B68+MAX(CHOOSE(V$15,0,(G$19*G$23-B68)*G$21,(G$19*G$23-B68)*G$21,(G$19*G$21*G$23-B68*$C$10),(G$19*G$21*G$23-B68*$C$10)),0)+IF(G$12&lt;0.9*G$19,MIN(SUM(G$28:G$34),8*Data!C$6),0)-SUM(G$28:G$39)-C$40*B68-G$24</f>
        <v>0</v>
      </c>
      <c r="H68" s="317">
        <f t="shared" ca="1" si="2"/>
        <v>0</v>
      </c>
      <c r="I68" s="318"/>
      <c r="J68" s="319" t="str">
        <f ca="1">IF($A68&gt;Data!C$13,0.55*J$19*J$21*C$22-J$41-J$24,"too early")</f>
        <v>too early</v>
      </c>
      <c r="K68" s="320">
        <f t="shared" ca="1" si="3"/>
        <v>0</v>
      </c>
      <c r="L68" s="314">
        <f ca="1">D68*D$9+IF(A68&gt;Data!C$13+25,0.55*J$19*J$21*C$22*0.35+0.35*C$24,0)+IF(L$35&gt;0,MAX(CHOOSE($W$15,0,(L$19*D$22*E68-D68)*L$21,(L$19*D$22*E68-D68)*L$21,(L$19*MAX(L$21,$D$10)*D$22*E68-D68*$D$10),(L$19*L$21*D$22*E68-D68*$D$10)),0),0)-SUM(L$28:L$39)-D68*D$40-L$24</f>
        <v>0</v>
      </c>
      <c r="M68" s="321"/>
      <c r="N68" s="322">
        <f>N$43+IF($N$12&lt;0.9*$N$19,IF($A68&lt;Data!$D$13+11,0,MAX(CHOOSE(W$15,0,(N$19*N$23-N$12)*N$21*(N$19*N$23-N$12)*N$21,(N$19*MAX(N$21,D$10)*N$23-N$12*$D$10),(N$19*N$21*N$23-N$12*$D$10)),0))-N$41-N$24)</f>
        <v>0</v>
      </c>
      <c r="O68" s="323">
        <f ca="1">D$9*D68+MAX(CHOOSE(W$15,0,(O$19*O$23-D68)*O$21,(O$19*O$23-D68)*O$21,(O$19*MAX(O$21,$D$10)*O$23-D68*$D$10),(O$19*O$21*O$23-D68*$D$10)),0)+IF(O$12&lt;0.9*O$19,MIN(SUM(O$28:O$34),3*Data!D$5),0)-SUM(O$28:O$39)-D68*D$40-O$24</f>
        <v>0</v>
      </c>
      <c r="P68" s="318"/>
      <c r="Q68" s="313" t="str">
        <f ca="1">IF($A68&gt;Data!D$13,0.6*Q$19*Q$21*D$22-Q$41-Q$24,"too early")</f>
        <v>too early</v>
      </c>
      <c r="R68" s="314">
        <f t="shared" ca="1" si="4"/>
        <v>0</v>
      </c>
      <c r="U68" s="39"/>
      <c r="V68" s="39"/>
      <c r="W68" s="39"/>
      <c r="X68" s="39"/>
      <c r="Y68" s="39"/>
      <c r="Z68" s="39"/>
      <c r="AA68" s="39"/>
      <c r="AB68" s="39"/>
    </row>
    <row r="69" spans="1:28" x14ac:dyDescent="0.2">
      <c r="A69" s="263">
        <f t="shared" si="5"/>
        <v>43606</v>
      </c>
      <c r="B69" s="203">
        <f ca="1">MAX(MIN((Data!C$33+Data!D$33*(A69-Data!C$20)+Data!E$33*(A69-Data!C$20)^2)/100,1),0)*C$11</f>
        <v>0</v>
      </c>
      <c r="C69" s="196">
        <v>1</v>
      </c>
      <c r="D69" s="209">
        <f ca="1">MIN(1,MAX(CHOOSE(V$14,Data!C$27,Data!C$28,Data!C$29)+CHOOSE(V$14,Data!D$27,Data!D$28,Data!D$29)*(A69-Data!D$20)-CHOOSE(V$14,Data!E$27,Data!E$28,Data!E$29)*((A69-Data!D$20)^2),0))*D$11</f>
        <v>0</v>
      </c>
      <c r="E69" s="197">
        <v>1</v>
      </c>
      <c r="F69" s="315">
        <f>F$43+IF($F$12&lt;0.9*$F$19,IF(A69&lt;Data!$C$13+11,0,MAX(CHOOSE(V$15,0,(F$19*F$23-F$12)*F$21,(F$19*F$23-F$12)*F$21,(F$19*MAX(F$21,C$10)*F$23-F$12*$C$10),(F$19*F$21*F$23-F$12*$C$10)),0))-F$41-F$24)</f>
        <v>0</v>
      </c>
      <c r="G69" s="316">
        <f ca="1">C$9*B69+MAX(CHOOSE(V$15,0,(G$19*G$23-B69)*G$21,(G$19*G$23-B69)*G$21,(G$19*G$21*G$23-B69*$C$10),(G$19*G$21*G$23-B69*$C$10)),0)+IF(G$12&lt;0.9*G$19,MIN(SUM(G$28:G$34),8*Data!C$6),0)-SUM(G$28:G$39)-C$40*B69-G$24</f>
        <v>0</v>
      </c>
      <c r="H69" s="317">
        <f t="shared" ca="1" si="2"/>
        <v>0</v>
      </c>
      <c r="I69" s="318"/>
      <c r="J69" s="319" t="str">
        <f ca="1">IF($A69&gt;Data!C$13,0.55*J$19*J$21*C$22-J$41-J$24,"too early")</f>
        <v>too early</v>
      </c>
      <c r="K69" s="320">
        <f t="shared" ca="1" si="3"/>
        <v>0</v>
      </c>
      <c r="L69" s="314">
        <f ca="1">D69*D$9+IF(A69&gt;Data!C$13+25,0.55*J$19*J$21*C$22*0.35+0.35*C$24,0)+IF(L$35&gt;0,MAX(CHOOSE($W$15,0,(L$19*D$22*E69-D69)*L$21,(L$19*D$22*E69-D69)*L$21,(L$19*MAX(L$21,$D$10)*D$22*E69-D69*$D$10),(L$19*L$21*D$22*E69-D69*$D$10)),0),0)-SUM(L$28:L$39)-D69*D$40-L$24</f>
        <v>0</v>
      </c>
      <c r="M69" s="321"/>
      <c r="N69" s="322">
        <f>N$43+IF($N$12&lt;0.9*$N$19,IF($A69&lt;Data!$D$13+11,0,MAX(CHOOSE(W$15,0,(N$19*N$23-N$12)*N$21*(N$19*N$23-N$12)*N$21,(N$19*MAX(N$21,D$10)*N$23-N$12*$D$10),(N$19*N$21*N$23-N$12*$D$10)),0))-N$41-N$24)</f>
        <v>0</v>
      </c>
      <c r="O69" s="323">
        <f ca="1">D$9*D69+MAX(CHOOSE(W$15,0,(O$19*O$23-D69)*O$21,(O$19*O$23-D69)*O$21,(O$19*MAX(O$21,$D$10)*O$23-D69*$D$10),(O$19*O$21*O$23-D69*$D$10)),0)+IF(O$12&lt;0.9*O$19,MIN(SUM(O$28:O$34),3*Data!D$5),0)-SUM(O$28:O$39)-D69*D$40-O$24</f>
        <v>0</v>
      </c>
      <c r="P69" s="318"/>
      <c r="Q69" s="313" t="str">
        <f ca="1">IF($A69&gt;Data!D$13,0.6*Q$19*Q$21*D$22-Q$41-Q$24,"too early")</f>
        <v>too early</v>
      </c>
      <c r="R69" s="314">
        <f t="shared" ca="1" si="4"/>
        <v>0</v>
      </c>
      <c r="U69" s="39"/>
      <c r="V69" s="39"/>
      <c r="W69" s="39"/>
      <c r="X69" s="39"/>
      <c r="Y69" s="39"/>
      <c r="Z69" s="39"/>
      <c r="AA69" s="39"/>
      <c r="AB69" s="39"/>
    </row>
    <row r="70" spans="1:28" x14ac:dyDescent="0.2">
      <c r="A70" s="263">
        <f t="shared" si="5"/>
        <v>43613</v>
      </c>
      <c r="B70" s="203">
        <f ca="1">MAX(MIN((Data!C$33+Data!D$33*(A70-Data!C$20)+Data!E$33*(A70-Data!C$20)^2)/100,1),0)*C$11</f>
        <v>0</v>
      </c>
      <c r="C70" s="196">
        <v>1</v>
      </c>
      <c r="D70" s="209">
        <f ca="1">MIN(1,MAX(CHOOSE(V$14,Data!C$27,Data!C$28,Data!C$29)+CHOOSE(V$14,Data!D$27,Data!D$28,Data!D$29)*(A70-Data!D$20)-CHOOSE(V$14,Data!E$27,Data!E$28,Data!E$29)*((A70-Data!D$20)^2),0))*D$11</f>
        <v>0</v>
      </c>
      <c r="E70" s="197">
        <v>1</v>
      </c>
      <c r="F70" s="315">
        <f>F$43+IF($F$12&lt;0.9*$F$19,IF(A70&lt;Data!$C$13+11,0,MAX(CHOOSE(V$15,0,(F$19*F$23-F$12)*F$21,(F$19*F$23-F$12)*F$21,(F$19*MAX(F$21,C$10)*F$23-F$12*$C$10),(F$19*F$21*F$23-F$12*$C$10)),0))-F$41-F$24)</f>
        <v>0</v>
      </c>
      <c r="G70" s="316">
        <f ca="1">C$9*B70+MAX(CHOOSE(V$15,0,(G$19*G$23-B70)*G$21,(G$19*G$23-B70)*G$21,(G$19*G$21*G$23-B70*$C$10),(G$19*G$21*G$23-B70*$C$10)),0)+IF(G$12&lt;0.9*G$19,MIN(SUM(G$28:G$34),8*Data!C$6),0)-SUM(G$28:G$39)-C$40*B70-G$24</f>
        <v>0</v>
      </c>
      <c r="H70" s="317">
        <f t="shared" ca="1" si="2"/>
        <v>0</v>
      </c>
      <c r="I70" s="318"/>
      <c r="J70" s="319" t="str">
        <f ca="1">IF($A70&gt;Data!C$13,0.55*J$19*J$21*C$22-J$41-J$24,"too early")</f>
        <v>too early</v>
      </c>
      <c r="K70" s="320">
        <f t="shared" ca="1" si="3"/>
        <v>0</v>
      </c>
      <c r="L70" s="314">
        <f ca="1">D70*D$9+IF(A70&gt;Data!C$13+25,0.55*J$19*J$21*C$22*0.35+0.35*C$24,0)+IF(L$35&gt;0,MAX(CHOOSE($W$15,0,(L$19*D$22*E70-D70)*L$21,(L$19*D$22*E70-D70)*L$21,(L$19*MAX(L$21,$D$10)*D$22*E70-D70*$D$10),(L$19*L$21*D$22*E70-D70*$D$10)),0),0)-SUM(L$28:L$39)-D70*D$40-L$24</f>
        <v>0</v>
      </c>
      <c r="M70" s="321"/>
      <c r="N70" s="322">
        <f>N$43+IF($N$12&lt;0.9*$N$19,IF($A70&lt;Data!$D$13+11,0,MAX(CHOOSE(W$15,0,(N$19*N$23-N$12)*N$21*(N$19*N$23-N$12)*N$21,(N$19*MAX(N$21,D$10)*N$23-N$12*$D$10),(N$19*N$21*N$23-N$12*$D$10)),0))-N$41-N$24)</f>
        <v>0</v>
      </c>
      <c r="O70" s="323">
        <f ca="1">D$9*D70+MAX(CHOOSE(W$15,0,(O$19*O$23-D70)*O$21,(O$19*O$23-D70)*O$21,(O$19*MAX(O$21,$D$10)*O$23-D70*$D$10),(O$19*O$21*O$23-D70*$D$10)),0)+IF(O$12&lt;0.9*O$19,MIN(SUM(O$28:O$34),3*Data!D$5),0)-SUM(O$28:O$39)-D70*D$40-O$24</f>
        <v>0</v>
      </c>
      <c r="P70" s="318"/>
      <c r="Q70" s="313" t="str">
        <f ca="1">IF($A70&gt;Data!D$13,0.6*Q$19*Q$21*D$22-Q$41-Q$24,"too early")</f>
        <v>too early</v>
      </c>
      <c r="R70" s="314">
        <f t="shared" ca="1" si="4"/>
        <v>0</v>
      </c>
      <c r="U70" s="39"/>
      <c r="V70" s="39"/>
      <c r="W70" s="39"/>
      <c r="X70" s="39"/>
      <c r="Y70" s="39"/>
      <c r="Z70" s="39"/>
      <c r="AA70" s="39"/>
      <c r="AB70" s="39"/>
    </row>
    <row r="71" spans="1:28" x14ac:dyDescent="0.2">
      <c r="A71" s="263">
        <f t="shared" si="5"/>
        <v>43620</v>
      </c>
      <c r="B71" s="203">
        <f ca="1">MAX(MIN((Data!C$33+Data!D$33*(A71-Data!C$20)+Data!E$33*(A71-Data!C$20)^2)/100,1),0)*C$11</f>
        <v>0</v>
      </c>
      <c r="C71" s="196">
        <v>0.96</v>
      </c>
      <c r="D71" s="209">
        <f ca="1">MIN(1,MAX(CHOOSE(V$14,Data!C$27,Data!C$28,Data!C$29)+CHOOSE(V$14,Data!D$27,Data!D$28,Data!D$29)*(A71-Data!D$20)-CHOOSE(V$14,Data!E$27,Data!E$28,Data!E$29)*((A71-Data!D$20)^2),0))*D$11</f>
        <v>0</v>
      </c>
      <c r="E71" s="197">
        <v>1</v>
      </c>
      <c r="F71" s="315">
        <f>F$43+IF($F$12&lt;0.9*$F$19,IF(A71&lt;Data!$C$13+11,0,MAX(CHOOSE(V$15,0,(F$19*F$23-F$12)*F$21,(F$19*F$23-F$12)*F$21,(F$19*MAX(F$21,C$10)*F$23-F$12*$C$10),(F$19*F$21*F$23-F$12*$C$10)),0))-F$41-F$24)</f>
        <v>0</v>
      </c>
      <c r="G71" s="316">
        <f ca="1">C$9*B71+MAX(CHOOSE(V$15,0,(G$19*G$23-B71)*G$21,(G$19*G$23-B71)*G$21,(G$19*G$21*G$23-B71*$C$10),(G$19*G$21*G$23-B71*$C$10)),0)+IF(G$12&lt;0.9*G$19,MIN(SUM(G$28:G$34),8*Data!C$6),0)-SUM(G$28:G$39)-C$40*B71-G$24</f>
        <v>0</v>
      </c>
      <c r="H71" s="317">
        <f t="shared" ca="1" si="2"/>
        <v>0</v>
      </c>
      <c r="I71" s="318"/>
      <c r="J71" s="319">
        <f ca="1">IF($A71&gt;Data!C$13,0.55*J$19*J$21*C$22-J$41-J$24,"too early")</f>
        <v>0</v>
      </c>
      <c r="K71" s="320">
        <f t="shared" ca="1" si="3"/>
        <v>0</v>
      </c>
      <c r="L71" s="314">
        <f ca="1">D71*D$9+IF(A71&gt;Data!C$13+25,0.55*J$19*J$21*C$22*0.35+0.35*C$24,0)+IF(L$35&gt;0,MAX(CHOOSE($W$15,0,(L$19*D$22*E71-D71)*L$21,(L$19*D$22*E71-D71)*L$21,(L$19*MAX(L$21,$D$10)*D$22*E71-D71*$D$10),(L$19*L$21*D$22*E71-D71*$D$10)),0),0)-SUM(L$28:L$39)-D71*D$40-L$24</f>
        <v>0</v>
      </c>
      <c r="M71" s="321"/>
      <c r="N71" s="322">
        <f>N$43+IF($N$12&lt;0.9*$N$19,IF($A71&lt;Data!$D$13+11,0,MAX(CHOOSE(W$15,0,(N$19*N$23-N$12)*N$21*(N$19*N$23-N$12)*N$21,(N$19*MAX(N$21,D$10)*N$23-N$12*$D$10),(N$19*N$21*N$23-N$12*$D$10)),0))-N$41-N$24)</f>
        <v>0</v>
      </c>
      <c r="O71" s="323">
        <f ca="1">D$9*D71+MAX(CHOOSE(W$15,0,(O$19*O$23-D71)*O$21,(O$19*O$23-D71)*O$21,(O$19*MAX(O$21,$D$10)*O$23-D71*$D$10),(O$19*O$21*O$23-D71*$D$10)),0)+IF(O$12&lt;0.9*O$19,MIN(SUM(O$28:O$34),3*Data!D$5),0)-SUM(O$28:O$39)-D71*D$40-O$24</f>
        <v>0</v>
      </c>
      <c r="P71" s="318"/>
      <c r="Q71" s="313" t="str">
        <f ca="1">IF($A71&gt;Data!D$13,0.6*Q$19*Q$21*D$22-Q$41-Q$24,"too early")</f>
        <v>too early</v>
      </c>
      <c r="R71" s="314">
        <f t="shared" ca="1" si="4"/>
        <v>0</v>
      </c>
      <c r="U71" s="39"/>
      <c r="V71" s="39"/>
      <c r="W71" s="39"/>
      <c r="X71" s="39"/>
      <c r="Y71" s="39"/>
      <c r="Z71" s="39"/>
      <c r="AA71" s="39"/>
      <c r="AB71" s="39"/>
    </row>
    <row r="72" spans="1:28" x14ac:dyDescent="0.2">
      <c r="A72" s="263">
        <f t="shared" si="5"/>
        <v>43627</v>
      </c>
      <c r="B72" s="203">
        <f ca="1">MAX(MIN((Data!C$33+Data!D$33*(A72-Data!C$20)+Data!E$33*(A72-Data!C$20)^2)/100,1),0)*C$11</f>
        <v>0</v>
      </c>
      <c r="C72" s="196">
        <v>0.89</v>
      </c>
      <c r="D72" s="209">
        <f ca="1">MIN(1,MAX(CHOOSE(V$14,Data!C$27,Data!C$28,Data!C$29)+CHOOSE(V$14,Data!D$27,Data!D$28,Data!D$29)*(A72-Data!D$20)-CHOOSE(V$14,Data!E$27,Data!E$28,Data!E$29)*((A72-Data!D$20)^2),0))*D$11</f>
        <v>0</v>
      </c>
      <c r="E72" s="197">
        <v>1</v>
      </c>
      <c r="F72" s="315">
        <f>F$43+IF($F$12&lt;0.9*$F$19,IF(A72&lt;Data!$C$13+11,0,MAX(CHOOSE(V$15,0,(F$19*F$23-F$12)*F$21,(F$19*F$23-F$12)*F$21,(F$19*MAX(F$21,C$10)*F$23-F$12*$C$10),(F$19*F$21*F$23-F$12*$C$10)),0))-F$41-F$24)</f>
        <v>0</v>
      </c>
      <c r="G72" s="316">
        <f ca="1">C$9*B72+MAX(CHOOSE(V$15,0,(G$19*G$23-B72)*G$21,(G$19*G$23-B72)*G$21,(G$19*G$21*G$23-B72*$C$10),(G$19*G$21*G$23-B72*$C$10)),0)+IF(G$12&lt;0.9*G$19,MIN(SUM(G$28:G$34),8*Data!C$6),0)-SUM(G$28:G$39)-C$40*B72-G$24</f>
        <v>0</v>
      </c>
      <c r="H72" s="317">
        <f t="shared" ca="1" si="2"/>
        <v>0</v>
      </c>
      <c r="I72" s="318"/>
      <c r="J72" s="319">
        <f ca="1">IF($A72&gt;Data!C$13,0.55*J$19*J$21*C$22-J$41-J$24,"too early")</f>
        <v>0</v>
      </c>
      <c r="K72" s="320">
        <f t="shared" ca="1" si="3"/>
        <v>0</v>
      </c>
      <c r="L72" s="314">
        <f ca="1">D72*D$9+IF(A72&gt;Data!C$13+25,0.55*J$19*J$21*C$22*0.35+0.35*C$24,0)+IF(L$35&gt;0,MAX(CHOOSE($W$15,0,(L$19*D$22*E72-D72)*L$21,(L$19*D$22*E72-D72)*L$21,(L$19*MAX(L$21,$D$10)*D$22*E72-D72*$D$10),(L$19*L$21*D$22*E72-D72*$D$10)),0),0)-SUM(L$28:L$39)-D72*D$40-L$24</f>
        <v>0</v>
      </c>
      <c r="M72" s="321"/>
      <c r="N72" s="322">
        <f>N$43+IF($N$12&lt;0.9*$N$19,IF($A72&lt;Data!$D$13+11,0,MAX(CHOOSE(W$15,0,(N$19*N$23-N$12)*N$21*(N$19*N$23-N$12)*N$21,(N$19*MAX(N$21,D$10)*N$23-N$12*$D$10),(N$19*N$21*N$23-N$12*$D$10)),0))-N$41-N$24)</f>
        <v>0</v>
      </c>
      <c r="O72" s="323">
        <f ca="1">D$9*D72+MAX(CHOOSE(W$15,0,(O$19*O$23-D72)*O$21,(O$19*O$23-D72)*O$21,(O$19*MAX(O$21,$D$10)*O$23-D72*$D$10),(O$19*O$21*O$23-D72*$D$10)),0)+IF(O$12&lt;0.9*O$19,MIN(SUM(O$28:O$34),3*Data!D$5),0)-SUM(O$28:O$39)-D72*D$40-O$24</f>
        <v>0</v>
      </c>
      <c r="P72" s="318"/>
      <c r="Q72" s="313" t="str">
        <f ca="1">IF($A72&gt;Data!D$13,0.6*Q$19*Q$21*D$22-Q$41-Q$24,"too early")</f>
        <v>too early</v>
      </c>
      <c r="R72" s="314">
        <f t="shared" ca="1" si="4"/>
        <v>0</v>
      </c>
      <c r="U72" s="39"/>
      <c r="V72" s="39"/>
      <c r="W72" s="39"/>
      <c r="X72" s="39"/>
      <c r="Y72" s="39"/>
      <c r="Z72" s="39"/>
      <c r="AA72" s="39"/>
      <c r="AB72" s="39"/>
    </row>
    <row r="73" spans="1:28" x14ac:dyDescent="0.2">
      <c r="A73" s="263">
        <f t="shared" si="5"/>
        <v>43634</v>
      </c>
      <c r="B73" s="203">
        <f ca="1">MAX(MIN((Data!C$33+Data!D$33*(A73-Data!C$20)+Data!E$33*(A73-Data!C$20)^2)/100,1),0)*C$11</f>
        <v>0</v>
      </c>
      <c r="C73" s="196">
        <v>0.82</v>
      </c>
      <c r="D73" s="209">
        <f ca="1">MIN(1,MAX(CHOOSE(V$14,Data!C$27,Data!C$28,Data!C$29)+CHOOSE(V$14,Data!D$27,Data!D$28,Data!D$29)*(A73-Data!D$20)-CHOOSE(V$14,Data!E$27,Data!E$28,Data!E$29)*((A73-Data!D$20)^2),0))*D$11</f>
        <v>0</v>
      </c>
      <c r="E73" s="197">
        <v>0.97</v>
      </c>
      <c r="F73" s="315">
        <f>F$43+IF($F$12&lt;0.9*$F$19,IF(A73&lt;Data!$C$13+11,0,MAX(CHOOSE(V$15,0,(F$19*F$23-F$12)*F$21,(F$19*F$23-F$12)*F$21,(F$19*MAX(F$21,C$10)*F$23-F$12*$C$10),(F$19*F$21*F$23-F$12*$C$10)),0))-F$41-F$24)</f>
        <v>0</v>
      </c>
      <c r="G73" s="316">
        <f ca="1">C$9*B73+MAX(CHOOSE(V$15,0,(G$19*G$23-B73)*G$21,(G$19*G$23-B73)*G$21,(G$19*G$21*G$23-B73*$C$10),(G$19*G$21*G$23-B73*$C$10)),0)+IF(G$12&lt;0.9*G$19,MIN(SUM(G$28:G$34),8*Data!C$6),0)-SUM(G$28:G$39)-C$40*B73-G$24</f>
        <v>0</v>
      </c>
      <c r="H73" s="317">
        <f t="shared" ca="1" si="2"/>
        <v>0</v>
      </c>
      <c r="I73" s="318"/>
      <c r="J73" s="319">
        <f ca="1">IF($A73&gt;Data!C$13,0.55*J$19*J$21*C$22-J$41-J$24,"too early")</f>
        <v>0</v>
      </c>
      <c r="K73" s="320">
        <f t="shared" ca="1" si="3"/>
        <v>0</v>
      </c>
      <c r="L73" s="314">
        <f ca="1">D73*D$9+IF(A73&gt;Data!C$13+25,0.55*J$19*J$21*C$22*0.35+0.35*C$24,0)+IF(L$35&gt;0,MAX(CHOOSE($W$15,0,(L$19*D$22*E73-D73)*L$21,(L$19*D$22*E73-D73)*L$21,(L$19*MAX(L$21,$D$10)*D$22*E73-D73*$D$10),(L$19*L$21*D$22*E73-D73*$D$10)),0),0)-SUM(L$28:L$39)-D73*D$40-L$24</f>
        <v>0</v>
      </c>
      <c r="M73" s="321"/>
      <c r="N73" s="322">
        <f>N$43+IF($N$12&lt;0.9*$N$19,IF($A73&lt;Data!$D$13+11,0,MAX(CHOOSE(W$15,0,(N$19*N$23-N$12)*N$21*(N$19*N$23-N$12)*N$21,(N$19*MAX(N$21,D$10)*N$23-N$12*$D$10),(N$19*N$21*N$23-N$12*$D$10)),0))-N$41-N$24)</f>
        <v>0</v>
      </c>
      <c r="O73" s="323">
        <f ca="1">D$9*D73+MAX(CHOOSE(W$15,0,(O$19*O$23-D73)*O$21,(O$19*O$23-D73)*O$21,(O$19*MAX(O$21,$D$10)*O$23-D73*$D$10),(O$19*O$21*O$23-D73*$D$10)),0)+IF(O$12&lt;0.9*O$19,MIN(SUM(O$28:O$34),3*Data!D$5),0)-SUM(O$28:O$39)-D73*D$40-O$24</f>
        <v>0</v>
      </c>
      <c r="P73" s="318"/>
      <c r="Q73" s="313">
        <f ca="1">IF($A73&gt;Data!D$13,0.6*Q$19*Q$21*D$22-Q$41-Q$24,"too early")</f>
        <v>0</v>
      </c>
      <c r="R73" s="314">
        <f t="shared" ca="1" si="4"/>
        <v>0</v>
      </c>
      <c r="U73" s="39"/>
      <c r="V73" s="39"/>
      <c r="W73" s="39"/>
      <c r="X73" s="39"/>
      <c r="Y73" s="39"/>
      <c r="Z73" s="39"/>
      <c r="AA73" s="39"/>
      <c r="AB73" s="39"/>
    </row>
    <row r="74" spans="1:28" x14ac:dyDescent="0.2">
      <c r="A74" s="263">
        <f t="shared" si="5"/>
        <v>43641</v>
      </c>
      <c r="B74" s="203">
        <f ca="1">MAX(MIN((Data!C$33+Data!D$33*(A74-Data!C$20)+Data!E$33*(A74-Data!C$20)^2)/100,1),0)*C$11</f>
        <v>0</v>
      </c>
      <c r="C74" s="196">
        <v>0.75</v>
      </c>
      <c r="D74" s="209">
        <f ca="1">MIN(1,MAX(CHOOSE(V$14,Data!C$27,Data!C$28,Data!C$29)+CHOOSE(V$14,Data!D$27,Data!D$28,Data!D$29)*(A74-Data!D$20)-CHOOSE(V$14,Data!E$27,Data!E$28,Data!E$29)*((A74-Data!D$20)^2),0))*D$11</f>
        <v>0</v>
      </c>
      <c r="E74" s="197">
        <v>0.9</v>
      </c>
      <c r="F74" s="315">
        <f>F$43+IF($F$12&lt;0.9*$F$19,IF(A74&lt;Data!$C$13+11,0,MAX(CHOOSE(V$15,0,(F$19*F$23-F$12)*F$21,(F$19*F$23-F$12)*F$21,(F$19*MAX(F$21,C$10)*F$23-F$12*$C$10),(F$19*F$21*F$23-F$12*$C$10)),0))-F$41-F$24)</f>
        <v>0</v>
      </c>
      <c r="G74" s="316">
        <f ca="1">C$9*B74+MAX(CHOOSE(V$15,0,(G$19*G$23-B74)*G$21,(G$19*G$23-B74)*G$21,(G$19*G$21*G$23-B74*$C$10),(G$19*G$21*G$23-B74*$C$10)),0)+IF(G$12&lt;0.9*G$19,MIN(SUM(G$28:G$34),8*Data!C$6),0)-SUM(G$28:G$39)-C$40*B74-G$24</f>
        <v>0</v>
      </c>
      <c r="H74" s="317">
        <f t="shared" ca="1" si="2"/>
        <v>0</v>
      </c>
      <c r="I74" s="318"/>
      <c r="J74" s="319">
        <f ca="1">IF($A74&gt;Data!C$13,0.55*J$19*J$21*C$22-J$41-J$24,"too early")</f>
        <v>0</v>
      </c>
      <c r="K74" s="320">
        <f t="shared" ca="1" si="3"/>
        <v>0</v>
      </c>
      <c r="L74" s="314">
        <f ca="1">D74*D$9+IF(A74&gt;Data!C$13+25,0.55*J$19*J$21*C$22*0.35+0.35*C$24,0)+IF(L$35&gt;0,MAX(CHOOSE($W$15,0,(L$19*D$22*E74-D74)*L$21,(L$19*D$22*E74-D74)*L$21,(L$19*MAX(L$21,$D$10)*D$22*E74-D74*$D$10),(L$19*L$21*D$22*E74-D74*$D$10)),0),0)-SUM(L$28:L$39)-D74*D$40-L$24</f>
        <v>0</v>
      </c>
      <c r="M74" s="321"/>
      <c r="N74" s="322">
        <f>N$43+IF($N$12&lt;0.9*$N$19,IF($A74&lt;Data!$D$13+11,0,MAX(CHOOSE(W$15,0,(N$19*N$23-N$12)*N$21*(N$19*N$23-N$12)*N$21,(N$19*MAX(N$21,D$10)*N$23-N$12*$D$10),(N$19*N$21*N$23-N$12*$D$10)),0))-N$41-N$24)</f>
        <v>0</v>
      </c>
      <c r="O74" s="323">
        <f ca="1">D$9*D74+MAX(CHOOSE(W$15,0,(O$19*O$23-D74)*O$21,(O$19*O$23-D74)*O$21,(O$19*MAX(O$21,$D$10)*O$23-D74*$D$10),(O$19*O$21*O$23-D74*$D$10)),0)+IF(O$12&lt;0.9*O$19,MIN(SUM(O$28:O$34),3*Data!D$5),0)-SUM(O$28:O$39)-D74*D$40-O$24</f>
        <v>0</v>
      </c>
      <c r="P74" s="318"/>
      <c r="Q74" s="313">
        <f ca="1">IF($A74&gt;Data!D$13,0.6*Q$19*Q$21*D$22-Q$41-Q$24,"too early")</f>
        <v>0</v>
      </c>
      <c r="R74" s="314">
        <f t="shared" ca="1" si="4"/>
        <v>0</v>
      </c>
      <c r="U74" s="39"/>
      <c r="V74" s="39"/>
      <c r="W74" s="39"/>
      <c r="X74" s="39"/>
      <c r="Y74" s="39"/>
      <c r="Z74" s="39"/>
      <c r="AA74" s="39"/>
      <c r="AB74" s="39"/>
    </row>
    <row r="75" spans="1:28" x14ac:dyDescent="0.2">
      <c r="A75" s="263">
        <f t="shared" si="5"/>
        <v>43648</v>
      </c>
      <c r="B75" s="203">
        <f ca="1">MAX(MIN((Data!C$33+Data!D$33*(A75-Data!C$20)+Data!E$33*(A75-Data!C$20)^2)/100,1),0)*C$11</f>
        <v>0</v>
      </c>
      <c r="C75" s="196">
        <v>0.55000000000000004</v>
      </c>
      <c r="D75" s="209">
        <f ca="1">MIN(1,MAX(CHOOSE(V$14,Data!C$27,Data!C$28,Data!C$29)+CHOOSE(V$14,Data!D$27,Data!D$28,Data!D$29)*(A75-Data!D$20)-CHOOSE(V$14,Data!E$27,Data!E$28,Data!E$29)*((A75-Data!D$20)^2),0))*D$11</f>
        <v>0</v>
      </c>
      <c r="E75" s="197">
        <v>0.83</v>
      </c>
      <c r="F75" s="315">
        <f>F$43+IF($F$12&lt;0.9*$F$19,IF(A75&lt;Data!$C$13+11,0,MAX(CHOOSE(V$15,0,(F$19*F$23-F$12)*F$21,(F$19*F$23-F$12)*F$21,(F$19*MAX(F$21,C$10)*F$23-F$12*$C$10),(F$19*F$21*F$23-F$12*$C$10)),0))-F$41-F$24)</f>
        <v>0</v>
      </c>
      <c r="G75" s="316">
        <f ca="1">C$9*B75+MAX(CHOOSE(V$15,0,(G$19*G$23-B75)*G$21,(G$19*G$23-B75)*G$21,(G$19*G$21*G$23-B75*$C$10),(G$19*G$21*G$23-B75*$C$10)),0)+IF(G$12&lt;0.9*G$19,MIN(SUM(G$28:G$34),8*Data!C$6),0)-SUM(G$28:G$39)-C$40*B75-G$24</f>
        <v>0</v>
      </c>
      <c r="H75" s="317">
        <f t="shared" ca="1" si="2"/>
        <v>0</v>
      </c>
      <c r="I75" s="318"/>
      <c r="J75" s="319">
        <f ca="1">IF($A75&gt;Data!C$13,0.55*J$19*J$21*C$22-J$41-J$24,"too early")</f>
        <v>0</v>
      </c>
      <c r="K75" s="320">
        <f t="shared" ca="1" si="3"/>
        <v>0</v>
      </c>
      <c r="L75" s="314">
        <f ca="1">D75*D$9+IF(A75&gt;Data!C$13+25,0.55*J$19*J$21*C$22*0.35+0.35*C$24,0)+IF(L$35&gt;0,MAX(CHOOSE($W$15,0,(L$19*D$22*E75-D75)*L$21,(L$19*D$22*E75-D75)*L$21,(L$19*MAX(L$21,$D$10)*D$22*E75-D75*$D$10),(L$19*L$21*D$22*E75-D75*$D$10)),0),0)-SUM(L$28:L$39)-D75*D$40-L$24</f>
        <v>0</v>
      </c>
      <c r="M75" s="321"/>
      <c r="N75" s="322">
        <f>N$43+IF($N$12&lt;0.9*$N$19,IF($A75&lt;Data!$D$13+11,0,MAX(CHOOSE(W$15,0,(N$19*N$23-N$12)*N$21*(N$19*N$23-N$12)*N$21,(N$19*MAX(N$21,D$10)*N$23-N$12*$D$10),(N$19*N$21*N$23-N$12*$D$10)),0))-N$41-N$24)</f>
        <v>0</v>
      </c>
      <c r="O75" s="323">
        <f ca="1">D$9*D75+MAX(CHOOSE(W$15,0,(O$19*O$23-D75)*O$21,(O$19*O$23-D75)*O$21,(O$19*MAX(O$21,$D$10)*O$23-D75*$D$10),(O$19*O$21*O$23-D75*$D$10)),0)+IF(O$12&lt;0.9*O$19,MIN(SUM(O$28:O$34),3*Data!D$5),0)-SUM(O$28:O$39)-D75*D$40-O$24</f>
        <v>0</v>
      </c>
      <c r="P75" s="318"/>
      <c r="Q75" s="313">
        <f ca="1">IF($A75&gt;Data!D$13,0.6*Q$19*Q$21*D$22-Q$41-Q$24,"too early")</f>
        <v>0</v>
      </c>
      <c r="R75" s="314">
        <f t="shared" ca="1" si="4"/>
        <v>0</v>
      </c>
      <c r="U75" s="39"/>
      <c r="V75" s="39"/>
      <c r="W75" s="39"/>
      <c r="X75" s="39"/>
      <c r="Y75" s="39"/>
      <c r="Z75" s="39"/>
      <c r="AA75" s="39"/>
      <c r="AB75" s="39"/>
    </row>
    <row r="76" spans="1:28" ht="13.5" thickBot="1" x14ac:dyDescent="0.25">
      <c r="A76" s="264">
        <f t="shared" si="5"/>
        <v>43655</v>
      </c>
      <c r="B76" s="265">
        <f ca="1">MAX(MIN((Data!C$33+Data!D$33*(A76-Data!C$20)+Data!E$33*(A76-Data!C$20)^2)/100,1),0)*C$11</f>
        <v>0</v>
      </c>
      <c r="C76" s="266">
        <v>0.55000000000000004</v>
      </c>
      <c r="D76" s="267">
        <f ca="1">MIN(1,MAX(CHOOSE(V$14,Data!C$27,Data!C$28,Data!C$29)+CHOOSE(V$14,Data!D$27,Data!D$28,Data!D$29)*(A76-Data!D$20)-CHOOSE(V$14,Data!E$27,Data!E$28,Data!E$29)*((A76-Data!D$20)^2),0))*D$11</f>
        <v>0</v>
      </c>
      <c r="E76" s="268">
        <v>0.76</v>
      </c>
      <c r="F76" s="324">
        <f>F$43+IF($F$12&lt;0.9*$F$19,IF(A76&lt;Data!$C$13+11,0,MAX(CHOOSE(V$15,0,(F$19*F$23-F$12)*F$21,(F$19*F$23-F$12)*F$21,(F$19*MAX(F$21,C$10)*F$23-F$12*$C$10),(F$19*F$21*F$23-F$12*$C$10)),0))-F$41-F$24)</f>
        <v>0</v>
      </c>
      <c r="G76" s="325">
        <f ca="1">C$9*B76+MAX(CHOOSE(V$15,0,(G$19*G$23-B76)*G$21,(G$19*G$23-B76)*G$21,(G$19*G$21*G$23-B76*$C$10),(G$19*G$21*G$23-B76*$C$10)),0)+IF(G$12&lt;0.9*G$19,MIN(SUM(G$28:G$34),8*Data!C$6),0)-SUM(G$28:G$39)-C$40*B76-G$24</f>
        <v>0</v>
      </c>
      <c r="H76" s="326">
        <f t="shared" ca="1" si="2"/>
        <v>0</v>
      </c>
      <c r="I76" s="318"/>
      <c r="J76" s="327">
        <f ca="1">IF($A76&gt;Data!C$13,0.55*J$19*J$21*C$22-J$41-J$24,"too early")</f>
        <v>0</v>
      </c>
      <c r="K76" s="328">
        <f t="shared" ca="1" si="3"/>
        <v>0</v>
      </c>
      <c r="L76" s="329">
        <f ca="1">D76*D$9+IF(A76&gt;Data!C$13+25,0.55*J$19*J$21*C$22*0.35+0.35*C$24,0)+IF(L$35&gt;0,MAX(CHOOSE($W$15,0,(L$19*D$22*E76-D76)*L$21,(L$19*D$22*E76-D76)*L$21,(L$19*MAX(L$21,$D$10)*D$22*E76-D76*$D$10),(L$19*L$21*D$22*E76-D76*$D$10)),0),0)-SUM(L$28:L$39)-D76*D$40-L$24</f>
        <v>0</v>
      </c>
      <c r="M76" s="321"/>
      <c r="N76" s="330">
        <f>N$43+IF($N$12&lt;0.9*$N$19,IF($A76&lt;Data!$D$13+11,0,MAX(CHOOSE(W$15,0,(N$19*N$23-N$12)*N$21*(N$19*N$23-N$12)*N$21,(N$19*MAX(N$21,D$10)*N$23-N$12*$D$10),(N$19*N$21*N$23-N$12*$D$10)),0))-N$41-N$24)</f>
        <v>0</v>
      </c>
      <c r="O76" s="331">
        <f ca="1">D$9*D76+MAX(CHOOSE(W$15,0,(O$19*O$23-D76)*O$21,(O$19*O$23-D76)*O$21,(O$19*MAX(O$21,$D$10)*O$23-D76*$D$10),(O$19*O$21*O$23-D76*$D$10)),0)+IF(O$12&lt;0.9*O$19,MIN(SUM(O$28:O$34),3*Data!D$5),0)-SUM(O$28:O$39)-D76*D$40-O$24</f>
        <v>0</v>
      </c>
      <c r="P76" s="318"/>
      <c r="Q76" s="332">
        <f ca="1">IF($A76&gt;Data!D$13,0.6*Q$19*Q$21*D$22-Q$41-Q$24,"too early")</f>
        <v>0</v>
      </c>
      <c r="R76" s="329">
        <f t="shared" ca="1" si="4"/>
        <v>0</v>
      </c>
      <c r="U76" s="39"/>
      <c r="V76" s="39"/>
      <c r="W76" s="39"/>
      <c r="X76" s="39"/>
      <c r="Y76" s="39"/>
      <c r="Z76" s="39"/>
      <c r="AA76" s="39"/>
      <c r="AB76" s="39"/>
    </row>
    <row r="77" spans="1:28" x14ac:dyDescent="0.2">
      <c r="A77" s="198"/>
      <c r="B77" s="198"/>
      <c r="G77" s="93"/>
      <c r="H77" s="93"/>
      <c r="I77" s="93"/>
      <c r="J77" s="93"/>
      <c r="K77" s="93"/>
      <c r="U77" s="39"/>
      <c r="V77" s="39"/>
      <c r="W77" s="39"/>
      <c r="X77" s="39"/>
      <c r="Y77" s="39"/>
      <c r="Z77" s="39"/>
      <c r="AA77" s="39"/>
      <c r="AB77" s="39"/>
    </row>
  </sheetData>
  <sheetProtection sheet="1" objects="1" scenarios="1"/>
  <mergeCells count="64">
    <mergeCell ref="A3:F3"/>
    <mergeCell ref="A5:C5"/>
    <mergeCell ref="A6:B6"/>
    <mergeCell ref="F7:H7"/>
    <mergeCell ref="J7:L7"/>
    <mergeCell ref="A9:B9"/>
    <mergeCell ref="F9:F10"/>
    <mergeCell ref="G9:G10"/>
    <mergeCell ref="H9:H10"/>
    <mergeCell ref="J9:J10"/>
    <mergeCell ref="R9:R10"/>
    <mergeCell ref="Q7:R7"/>
    <mergeCell ref="F8:H8"/>
    <mergeCell ref="J8:L8"/>
    <mergeCell ref="N8:O8"/>
    <mergeCell ref="Q8:R8"/>
    <mergeCell ref="N7:O7"/>
    <mergeCell ref="K9:K10"/>
    <mergeCell ref="L9:L10"/>
    <mergeCell ref="N9:N10"/>
    <mergeCell ref="O9:O10"/>
    <mergeCell ref="Q9:Q10"/>
    <mergeCell ref="A21:B21"/>
    <mergeCell ref="A10:B10"/>
    <mergeCell ref="A11:B11"/>
    <mergeCell ref="A12:B12"/>
    <mergeCell ref="A13:B13"/>
    <mergeCell ref="A14:B14"/>
    <mergeCell ref="A15:B15"/>
    <mergeCell ref="J15:J17"/>
    <mergeCell ref="Q15:Q17"/>
    <mergeCell ref="A16:B16"/>
    <mergeCell ref="A18:B18"/>
    <mergeCell ref="A19:B19"/>
    <mergeCell ref="A22:B22"/>
    <mergeCell ref="A23:B23"/>
    <mergeCell ref="A24:B24"/>
    <mergeCell ref="F25:F26"/>
    <mergeCell ref="G25:G26"/>
    <mergeCell ref="N25:N26"/>
    <mergeCell ref="O25:O26"/>
    <mergeCell ref="A26:B26"/>
    <mergeCell ref="F27:H27"/>
    <mergeCell ref="J27:L27"/>
    <mergeCell ref="N27:O27"/>
    <mergeCell ref="H25:H26"/>
    <mergeCell ref="Q27:R27"/>
    <mergeCell ref="A54:C54"/>
    <mergeCell ref="A57:N58"/>
    <mergeCell ref="A59:R59"/>
    <mergeCell ref="F61:H61"/>
    <mergeCell ref="J61:L61"/>
    <mergeCell ref="N61:O61"/>
    <mergeCell ref="Q61:R61"/>
    <mergeCell ref="N62:N63"/>
    <mergeCell ref="O62:O63"/>
    <mergeCell ref="Q62:Q63"/>
    <mergeCell ref="R62:R63"/>
    <mergeCell ref="F62:F63"/>
    <mergeCell ref="G62:G63"/>
    <mergeCell ref="H62:H63"/>
    <mergeCell ref="J62:J63"/>
    <mergeCell ref="K62:K63"/>
    <mergeCell ref="L62:L63"/>
  </mergeCells>
  <conditionalFormatting sqref="C20">
    <cfRule type="expression" dxfId="1" priority="2">
      <formula>$V$15=3</formula>
    </cfRule>
  </conditionalFormatting>
  <conditionalFormatting sqref="D20">
    <cfRule type="expression" dxfId="0" priority="1">
      <formula>$W$15=3</formula>
    </cfRule>
  </conditionalFormatting>
  <dataValidations count="3">
    <dataValidation allowBlank="1" showInputMessage="1" showErrorMessage="1" prompt="The futures price is used to estimate crop revenue insurance payments." sqref="C10:D10" xr:uid="{00000000-0002-0000-0200-000000000000}"/>
    <dataValidation type="list" allowBlank="1" showErrorMessage="1" sqref="D13" xr:uid="{00000000-0002-0000-0200-000001000000}">
      <formula1>zonesblank</formula1>
    </dataValidation>
    <dataValidation type="list" allowBlank="1" showInputMessage="1" showErrorMessage="1" sqref="C18:D18" xr:uid="{00000000-0002-0000-0200-000002000000}">
      <formula1>Typesblank</formula1>
    </dataValidation>
  </dataValidations>
  <hyperlinks>
    <hyperlink ref="A3" r:id="rId1" xr:uid="{00000000-0004-0000-0200-000000000000}"/>
    <hyperlink ref="A3:C3" r:id="rId2" display="Estimating the Field Capacity of Farm Machines" xr:uid="{00000000-0004-0000-0200-000001000000}"/>
    <hyperlink ref="A52" r:id="rId3" xr:uid="{00000000-0004-0000-0200-000002000000}"/>
    <hyperlink ref="A3:F3" r:id="rId4" display="See Ag Decision Maker file A1-57 &quot;Delayed and Prevented Planting Provisions&quot; for more information." xr:uid="{00000000-0004-0000-0200-000003000000}"/>
  </hyperlinks>
  <pageMargins left="0.45" right="0.51" top="0.6" bottom="0.5" header="0.5" footer="0.5"/>
  <pageSetup scale="53" orientation="landscape" r:id="rId5"/>
  <headerFooter alignWithMargins="0">
    <oddHeader>&amp;LIowa State University Extension and Outreach &amp;RAg Decision Maker File A1-57</oddHeader>
    <oddFooter>&amp;Lhttp://www.extension.iastate.edu/agdm/crops/xls/a1-57delayedplantingevaluator.xlsx&amp;R&amp;A</oddFooter>
  </headerFooter>
  <drawing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K135"/>
  <sheetViews>
    <sheetView showGridLines="0" zoomScaleNormal="100" workbookViewId="0">
      <selection activeCell="B1" sqref="B1"/>
    </sheetView>
  </sheetViews>
  <sheetFormatPr defaultRowHeight="12.75" x14ac:dyDescent="0.2"/>
  <cols>
    <col min="1" max="1" width="1.7109375" customWidth="1"/>
    <col min="2" max="2" width="24.140625" customWidth="1"/>
    <col min="3" max="8" width="12.7109375" customWidth="1"/>
    <col min="9" max="9" width="10" bestFit="1" customWidth="1"/>
    <col min="10" max="10" width="8.28515625" customWidth="1"/>
    <col min="11" max="14" width="12.7109375" customWidth="1"/>
  </cols>
  <sheetData>
    <row r="1" spans="1:25" x14ac:dyDescent="0.2">
      <c r="B1" s="60"/>
      <c r="C1" s="389" t="s">
        <v>49</v>
      </c>
      <c r="D1" s="390"/>
    </row>
    <row r="2" spans="1:25" x14ac:dyDescent="0.2">
      <c r="B2" s="24" t="s">
        <v>30</v>
      </c>
      <c r="C2" s="61" t="s">
        <v>0</v>
      </c>
      <c r="D2" s="64" t="s">
        <v>1</v>
      </c>
      <c r="E2" s="1"/>
    </row>
    <row r="3" spans="1:25" x14ac:dyDescent="0.2">
      <c r="B3" s="83" t="s">
        <v>73</v>
      </c>
      <c r="C3" s="65">
        <v>0</v>
      </c>
      <c r="D3" s="66">
        <v>0</v>
      </c>
      <c r="E3" s="1"/>
    </row>
    <row r="4" spans="1:25" x14ac:dyDescent="0.2">
      <c r="B4" s="83" t="s">
        <v>58</v>
      </c>
      <c r="C4" s="65">
        <f>0.55*C5</f>
        <v>2.2000000000000002</v>
      </c>
      <c r="D4" s="66">
        <f>0.55*D5</f>
        <v>5.2469999999999999</v>
      </c>
      <c r="E4" s="1"/>
    </row>
    <row r="5" spans="1:25" x14ac:dyDescent="0.2">
      <c r="B5" s="74" t="s">
        <v>53</v>
      </c>
      <c r="C5" s="65">
        <v>4</v>
      </c>
      <c r="D5" s="84">
        <v>9.5399999999999991</v>
      </c>
      <c r="E5" s="1"/>
    </row>
    <row r="6" spans="1:25" x14ac:dyDescent="0.2">
      <c r="B6" s="74" t="s">
        <v>54</v>
      </c>
      <c r="C6" s="65">
        <v>4</v>
      </c>
      <c r="D6" s="66">
        <v>9.5399999999999991</v>
      </c>
      <c r="E6" s="1"/>
    </row>
    <row r="7" spans="1:25" x14ac:dyDescent="0.2">
      <c r="B7" s="75" t="s">
        <v>55</v>
      </c>
      <c r="C7" s="67">
        <v>4</v>
      </c>
      <c r="D7" s="68">
        <v>9.5399999999999991</v>
      </c>
      <c r="E7" s="13" t="s">
        <v>92</v>
      </c>
    </row>
    <row r="8" spans="1:25" ht="13.5" thickBot="1" x14ac:dyDescent="0.25">
      <c r="B8" s="281" t="s">
        <v>118</v>
      </c>
      <c r="C8" s="69"/>
      <c r="D8" s="70"/>
      <c r="E8" s="205" t="s">
        <v>91</v>
      </c>
    </row>
    <row r="9" spans="1:25" ht="13.5" thickBot="1" x14ac:dyDescent="0.25"/>
    <row r="10" spans="1:25" ht="13.5" thickBot="1" x14ac:dyDescent="0.25">
      <c r="B10" s="228" t="s">
        <v>85</v>
      </c>
      <c r="C10" s="229">
        <f ca="1">TODAY()</f>
        <v>43608</v>
      </c>
    </row>
    <row r="11" spans="1:25" ht="13.5" thickBot="1" x14ac:dyDescent="0.25">
      <c r="C11" s="1"/>
      <c r="D11" s="1"/>
      <c r="E11" s="13" t="s">
        <v>121</v>
      </c>
      <c r="N11" s="1"/>
      <c r="O11" s="1"/>
      <c r="P11" s="1"/>
      <c r="Q11" s="1"/>
      <c r="R11" s="1"/>
      <c r="S11" s="1"/>
      <c r="T11" s="1"/>
      <c r="U11" s="1"/>
      <c r="V11" s="1"/>
      <c r="W11" s="1"/>
      <c r="X11" s="1"/>
      <c r="Y11" s="1"/>
    </row>
    <row r="12" spans="1:25" x14ac:dyDescent="0.2">
      <c r="B12" s="22" t="s">
        <v>88</v>
      </c>
      <c r="C12" s="226" t="s">
        <v>0</v>
      </c>
      <c r="D12" s="227" t="s">
        <v>1</v>
      </c>
      <c r="E12" s="205" t="s">
        <v>120</v>
      </c>
      <c r="N12" s="1"/>
      <c r="O12" s="1"/>
      <c r="P12" s="1"/>
      <c r="Q12" s="1"/>
      <c r="R12" s="1"/>
      <c r="S12" s="1"/>
      <c r="T12" s="1"/>
      <c r="U12" s="1"/>
      <c r="V12" s="1"/>
      <c r="W12" s="1"/>
      <c r="X12" s="1"/>
      <c r="Y12" s="1"/>
    </row>
    <row r="13" spans="1:25" x14ac:dyDescent="0.2">
      <c r="B13" s="2"/>
      <c r="C13" s="255">
        <f ca="1">DATEVALUE(CONCATENATE(C14,"/",C15,"/",YEAR($C$10)))</f>
        <v>43616</v>
      </c>
      <c r="D13" s="256">
        <f ca="1">DATEVALUE(CONCATENATE(D14,"/",D15,"/",YEAR($C$10)))</f>
        <v>43631</v>
      </c>
      <c r="E13" s="205"/>
      <c r="N13" s="11"/>
      <c r="O13" s="11"/>
      <c r="P13" s="1"/>
      <c r="Q13" s="1"/>
      <c r="R13" s="1"/>
      <c r="S13" s="1"/>
      <c r="T13" s="1"/>
      <c r="U13" s="1"/>
      <c r="V13" s="1"/>
      <c r="W13" s="1"/>
      <c r="X13" s="1"/>
      <c r="Y13" s="1"/>
    </row>
    <row r="14" spans="1:25" x14ac:dyDescent="0.2">
      <c r="A14" s="219"/>
      <c r="B14" s="224" t="s">
        <v>86</v>
      </c>
      <c r="C14" s="59">
        <v>5</v>
      </c>
      <c r="D14" s="217">
        <v>6</v>
      </c>
      <c r="E14" s="205"/>
      <c r="N14" s="11"/>
      <c r="O14" s="11"/>
      <c r="P14" s="1"/>
      <c r="Q14" s="1"/>
      <c r="R14" s="1"/>
      <c r="S14" s="1"/>
      <c r="T14" s="1"/>
      <c r="U14" s="1"/>
      <c r="V14" s="1"/>
      <c r="W14" s="1"/>
      <c r="X14" s="1"/>
      <c r="Y14" s="1"/>
    </row>
    <row r="15" spans="1:25" x14ac:dyDescent="0.2">
      <c r="B15" s="213" t="s">
        <v>87</v>
      </c>
      <c r="C15" s="221">
        <v>31</v>
      </c>
      <c r="D15" s="218">
        <v>15</v>
      </c>
      <c r="E15" s="205"/>
      <c r="N15" s="11"/>
      <c r="O15" s="11"/>
      <c r="P15" s="1"/>
      <c r="Q15" s="1"/>
      <c r="R15" s="1"/>
      <c r="S15" s="1"/>
      <c r="T15" s="1"/>
      <c r="U15" s="1"/>
      <c r="V15" s="1"/>
      <c r="W15" s="1"/>
      <c r="X15" s="1"/>
      <c r="Y15" s="1"/>
    </row>
    <row r="16" spans="1:25" ht="13.5" thickBot="1" x14ac:dyDescent="0.25">
      <c r="B16" s="210" t="s">
        <v>90</v>
      </c>
      <c r="C16" s="225"/>
      <c r="D16" s="4"/>
      <c r="E16" s="1"/>
      <c r="N16" s="6"/>
      <c r="O16" s="6"/>
      <c r="P16" s="1"/>
      <c r="Q16" s="1"/>
      <c r="R16" s="1"/>
      <c r="S16" s="1"/>
      <c r="T16" s="1"/>
      <c r="U16" s="1"/>
      <c r="V16" s="1"/>
      <c r="W16" s="1"/>
      <c r="X16" s="1"/>
      <c r="Y16" s="1"/>
    </row>
    <row r="17" spans="2:37" ht="13.5" thickBot="1" x14ac:dyDescent="0.25">
      <c r="N17" s="6"/>
      <c r="O17" s="6"/>
      <c r="P17" s="1"/>
      <c r="Q17" s="1"/>
      <c r="R17" s="1"/>
      <c r="S17" s="1"/>
      <c r="T17" s="1"/>
      <c r="U17" s="1"/>
      <c r="V17" s="1"/>
      <c r="W17" s="1"/>
      <c r="X17" s="1"/>
      <c r="Y17" s="1"/>
    </row>
    <row r="18" spans="2:37" x14ac:dyDescent="0.2">
      <c r="B18" s="22" t="s">
        <v>89</v>
      </c>
      <c r="C18" s="223"/>
      <c r="D18" s="5"/>
      <c r="E18" s="254"/>
      <c r="N18" s="6"/>
      <c r="O18" s="6"/>
      <c r="P18" s="1"/>
      <c r="Q18" s="1"/>
      <c r="R18" s="1"/>
      <c r="S18" s="1"/>
      <c r="T18" s="1"/>
      <c r="U18" s="1"/>
      <c r="V18" s="1"/>
      <c r="W18" s="1"/>
      <c r="X18" s="1"/>
      <c r="Y18" s="1"/>
    </row>
    <row r="19" spans="2:37" x14ac:dyDescent="0.2">
      <c r="B19" s="2"/>
      <c r="C19" s="220" t="s">
        <v>0</v>
      </c>
      <c r="D19" s="207" t="s">
        <v>1</v>
      </c>
      <c r="N19" s="6"/>
      <c r="O19" s="6"/>
      <c r="P19" s="1"/>
      <c r="Q19" s="1"/>
      <c r="R19" s="1"/>
      <c r="S19" s="1"/>
      <c r="T19" s="1"/>
      <c r="U19" s="1"/>
      <c r="V19" s="1"/>
      <c r="W19" s="1"/>
      <c r="X19" s="1"/>
      <c r="Y19" s="1"/>
    </row>
    <row r="20" spans="2:37" x14ac:dyDescent="0.2">
      <c r="B20" s="2"/>
      <c r="C20" s="255">
        <f ca="1">DATEVALUE(CONCATENATE(C21,"/",C22,"/",YEAR($C$10)))</f>
        <v>43566</v>
      </c>
      <c r="D20" s="256">
        <f ca="1">DATEVALUE(CONCATENATE(D21,"/",D22,"/",YEAR($C$10)))</f>
        <v>43576</v>
      </c>
      <c r="E20" s="1"/>
      <c r="N20" s="6"/>
      <c r="O20" s="6"/>
      <c r="P20" s="1"/>
      <c r="Q20" s="1"/>
      <c r="R20" s="1"/>
      <c r="S20" s="1"/>
      <c r="T20" s="1"/>
      <c r="U20" s="1"/>
      <c r="V20" s="1"/>
      <c r="W20" s="1"/>
      <c r="X20" s="1"/>
      <c r="Y20" s="1"/>
    </row>
    <row r="21" spans="2:37" x14ac:dyDescent="0.2">
      <c r="B21" s="224" t="s">
        <v>86</v>
      </c>
      <c r="C21" s="221">
        <v>4</v>
      </c>
      <c r="D21" s="214">
        <v>4</v>
      </c>
      <c r="E21" s="1"/>
      <c r="N21" s="6"/>
      <c r="O21" s="6"/>
      <c r="P21" s="1"/>
      <c r="Q21" s="1"/>
      <c r="R21" s="1"/>
      <c r="S21" s="1"/>
      <c r="T21" s="1"/>
      <c r="U21" s="1"/>
      <c r="V21" s="1"/>
      <c r="W21" s="1"/>
      <c r="X21" s="1"/>
      <c r="Y21" s="1"/>
    </row>
    <row r="22" spans="2:37" x14ac:dyDescent="0.2">
      <c r="B22" s="213" t="s">
        <v>87</v>
      </c>
      <c r="C22" s="222">
        <v>11</v>
      </c>
      <c r="D22" s="230">
        <v>21</v>
      </c>
      <c r="E22" s="1"/>
      <c r="I22" s="242"/>
      <c r="N22" s="1"/>
      <c r="O22" s="1"/>
      <c r="P22" s="1"/>
      <c r="Q22" s="1"/>
      <c r="R22" s="1"/>
      <c r="S22" s="1"/>
      <c r="T22" s="1"/>
      <c r="U22" s="1"/>
      <c r="V22" s="1"/>
      <c r="W22" s="1"/>
      <c r="X22" s="1"/>
      <c r="Y22" s="1"/>
    </row>
    <row r="23" spans="2:37" ht="13.5" thickBot="1" x14ac:dyDescent="0.25">
      <c r="B23" s="210" t="s">
        <v>84</v>
      </c>
      <c r="C23" s="231"/>
      <c r="D23" s="4"/>
      <c r="E23" s="1"/>
      <c r="N23" s="1"/>
      <c r="O23" s="1"/>
      <c r="P23" s="1"/>
      <c r="Q23" s="1"/>
      <c r="R23" s="1"/>
      <c r="S23" s="1"/>
      <c r="T23" s="1"/>
      <c r="U23" s="1"/>
      <c r="V23" s="1"/>
      <c r="W23" s="1"/>
      <c r="X23" s="1"/>
      <c r="Y23" s="1"/>
    </row>
    <row r="24" spans="2:37" ht="13.5" thickBot="1" x14ac:dyDescent="0.25">
      <c r="B24" s="25"/>
      <c r="C24" s="1"/>
      <c r="D24" s="1"/>
      <c r="E24" s="1"/>
      <c r="N24" s="12"/>
      <c r="O24" s="12"/>
      <c r="P24" s="12"/>
      <c r="Q24" s="12"/>
      <c r="R24" s="12"/>
      <c r="S24" s="12"/>
      <c r="T24" s="1"/>
      <c r="U24" s="1"/>
      <c r="V24" s="1"/>
      <c r="W24" s="1"/>
      <c r="X24" s="1"/>
      <c r="Y24" s="1"/>
    </row>
    <row r="25" spans="2:37" x14ac:dyDescent="0.2">
      <c r="B25" s="60"/>
      <c r="C25" s="392" t="s">
        <v>36</v>
      </c>
      <c r="D25" s="392"/>
      <c r="E25" s="393"/>
      <c r="N25" s="6"/>
      <c r="O25" s="6"/>
      <c r="P25" s="6"/>
      <c r="Q25" s="6"/>
      <c r="R25" s="6"/>
      <c r="S25" s="6"/>
      <c r="T25" s="1"/>
      <c r="U25" s="1"/>
      <c r="V25" s="1"/>
      <c r="W25" s="1"/>
      <c r="X25" s="1"/>
      <c r="Y25" s="1"/>
    </row>
    <row r="26" spans="2:37" x14ac:dyDescent="0.2">
      <c r="B26" s="24" t="s">
        <v>32</v>
      </c>
      <c r="C26" s="62" t="s">
        <v>33</v>
      </c>
      <c r="D26" s="62" t="s">
        <v>34</v>
      </c>
      <c r="E26" s="63" t="s">
        <v>50</v>
      </c>
      <c r="F26" s="1"/>
      <c r="G26" s="1"/>
      <c r="H26" s="1"/>
      <c r="J26" s="1"/>
      <c r="K26" s="1"/>
      <c r="L26" s="1"/>
      <c r="M26" s="1"/>
      <c r="N26" s="6"/>
      <c r="O26" s="6"/>
      <c r="P26" s="6"/>
      <c r="Q26" s="6"/>
      <c r="R26" s="6"/>
      <c r="S26" s="6"/>
      <c r="T26" s="1"/>
      <c r="U26" s="1"/>
      <c r="V26" s="1"/>
      <c r="W26" s="1"/>
      <c r="X26" s="1"/>
      <c r="Y26" s="1"/>
      <c r="Z26" s="1"/>
      <c r="AA26" s="1"/>
      <c r="AB26" s="1"/>
      <c r="AC26" s="1"/>
      <c r="AD26" s="1"/>
      <c r="AE26" s="1"/>
      <c r="AF26" s="1"/>
      <c r="AG26" s="1"/>
      <c r="AH26" s="1"/>
      <c r="AI26" s="1"/>
      <c r="AJ26" s="1"/>
      <c r="AK26" s="1"/>
    </row>
    <row r="27" spans="2:37" x14ac:dyDescent="0.2">
      <c r="B27" s="2" t="s">
        <v>31</v>
      </c>
      <c r="C27" s="53">
        <v>0.877</v>
      </c>
      <c r="D27" s="59">
        <v>8.6400000000000001E-3</v>
      </c>
      <c r="E27" s="54">
        <v>1.4999999999999999E-4</v>
      </c>
      <c r="F27" s="1"/>
      <c r="G27" s="1"/>
      <c r="H27" s="1"/>
      <c r="I27" s="1"/>
      <c r="J27" s="1"/>
      <c r="K27" s="1"/>
      <c r="L27" s="1"/>
      <c r="M27" s="1"/>
      <c r="N27" s="6"/>
      <c r="O27" s="6"/>
      <c r="P27" s="6"/>
      <c r="Q27" s="6"/>
      <c r="R27" s="6"/>
      <c r="S27" s="6"/>
      <c r="T27" s="1"/>
      <c r="U27" s="1"/>
      <c r="V27" s="1"/>
      <c r="W27" s="1"/>
      <c r="X27" s="1"/>
      <c r="Y27" s="1"/>
      <c r="Z27" s="1"/>
      <c r="AA27" s="1"/>
      <c r="AB27" s="1"/>
      <c r="AC27" s="1"/>
      <c r="AD27" s="1"/>
      <c r="AE27" s="1"/>
      <c r="AF27" s="1"/>
      <c r="AG27" s="1"/>
      <c r="AH27" s="1"/>
      <c r="AI27" s="1"/>
      <c r="AJ27" s="1"/>
      <c r="AK27" s="1"/>
    </row>
    <row r="28" spans="2:37" x14ac:dyDescent="0.2">
      <c r="B28" s="2" t="s">
        <v>28</v>
      </c>
      <c r="C28" s="57">
        <v>0.81499999999999995</v>
      </c>
      <c r="D28" s="57">
        <v>1.0500000000000001E-2</v>
      </c>
      <c r="E28" s="58">
        <v>1.6000000000000001E-4</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2:37" ht="13.5" thickBot="1" x14ac:dyDescent="0.25">
      <c r="B29" s="23" t="s">
        <v>29</v>
      </c>
      <c r="C29" s="55">
        <v>0.755</v>
      </c>
      <c r="D29" s="55">
        <v>1.2699999999999999E-2</v>
      </c>
      <c r="E29" s="56">
        <v>1.6000000000000001E-4</v>
      </c>
      <c r="F29" s="1"/>
      <c r="G29" s="8"/>
      <c r="H29" s="1"/>
      <c r="I29" s="1"/>
      <c r="J29" s="1"/>
      <c r="K29" s="1"/>
      <c r="L29" s="1"/>
      <c r="M29" s="1"/>
      <c r="N29" s="12"/>
      <c r="O29" s="12"/>
      <c r="P29" s="12"/>
      <c r="Q29" s="12"/>
      <c r="R29" s="12"/>
      <c r="S29" s="12"/>
      <c r="T29" s="12"/>
      <c r="U29" s="12"/>
      <c r="V29" s="12"/>
      <c r="W29" s="1"/>
      <c r="X29" s="1"/>
      <c r="Y29" s="1"/>
      <c r="Z29" s="1"/>
      <c r="AA29" s="1"/>
      <c r="AB29" s="1"/>
      <c r="AC29" s="1"/>
      <c r="AD29" s="1"/>
      <c r="AE29" s="1"/>
      <c r="AF29" s="1"/>
      <c r="AG29" s="1"/>
      <c r="AH29" s="1"/>
      <c r="AI29" s="1"/>
      <c r="AJ29" s="1"/>
      <c r="AK29" s="1"/>
    </row>
    <row r="30" spans="2:37" ht="13.5" thickBot="1" x14ac:dyDescent="0.25">
      <c r="B30" s="25"/>
      <c r="C30" s="53"/>
      <c r="D30" s="53"/>
      <c r="E30" s="53"/>
      <c r="F30" s="1"/>
      <c r="G30" s="8"/>
      <c r="H30" s="1"/>
      <c r="I30" s="1"/>
      <c r="J30" s="1"/>
      <c r="K30" s="1"/>
      <c r="L30" s="1"/>
      <c r="M30" s="1"/>
      <c r="N30" s="12"/>
      <c r="O30" s="12"/>
      <c r="P30" s="12"/>
      <c r="Q30" s="12"/>
      <c r="R30" s="12"/>
      <c r="S30" s="12"/>
      <c r="T30" s="12"/>
      <c r="U30" s="12"/>
      <c r="V30" s="12"/>
      <c r="W30" s="1"/>
      <c r="X30" s="1"/>
      <c r="Y30" s="1"/>
      <c r="Z30" s="1"/>
      <c r="AA30" s="1"/>
      <c r="AB30" s="1"/>
      <c r="AC30" s="1"/>
      <c r="AD30" s="1"/>
      <c r="AE30" s="1"/>
      <c r="AF30" s="1"/>
      <c r="AG30" s="1"/>
      <c r="AH30" s="1"/>
      <c r="AI30" s="1"/>
      <c r="AJ30" s="1"/>
      <c r="AK30" s="1"/>
    </row>
    <row r="31" spans="2:37" x14ac:dyDescent="0.2">
      <c r="B31" s="89"/>
      <c r="C31" s="389" t="s">
        <v>64</v>
      </c>
      <c r="D31" s="389"/>
      <c r="E31" s="390"/>
      <c r="F31" s="1"/>
      <c r="G31" s="8"/>
      <c r="H31" s="1"/>
      <c r="I31" s="1"/>
      <c r="J31" s="1"/>
      <c r="K31" s="1"/>
      <c r="L31" s="1"/>
      <c r="M31" s="1"/>
      <c r="N31" s="12"/>
      <c r="O31" s="12"/>
      <c r="P31" s="12"/>
      <c r="Q31" s="12"/>
      <c r="R31" s="12"/>
      <c r="S31" s="12"/>
      <c r="T31" s="12"/>
      <c r="U31" s="12"/>
      <c r="V31" s="12"/>
      <c r="W31" s="1"/>
      <c r="X31" s="1"/>
      <c r="Y31" s="1"/>
      <c r="Z31" s="1"/>
      <c r="AA31" s="1"/>
      <c r="AB31" s="1"/>
      <c r="AC31" s="1"/>
      <c r="AD31" s="1"/>
      <c r="AE31" s="1"/>
      <c r="AF31" s="1"/>
      <c r="AG31" s="1"/>
      <c r="AH31" s="1"/>
      <c r="AI31" s="1"/>
      <c r="AJ31" s="1"/>
      <c r="AK31" s="1"/>
    </row>
    <row r="32" spans="2:37" x14ac:dyDescent="0.2">
      <c r="B32" s="90"/>
      <c r="C32" s="215" t="s">
        <v>63</v>
      </c>
      <c r="D32" s="215" t="s">
        <v>34</v>
      </c>
      <c r="E32" s="216" t="s">
        <v>50</v>
      </c>
      <c r="F32" s="1"/>
      <c r="G32" s="8"/>
      <c r="H32" s="1"/>
      <c r="I32" s="1"/>
      <c r="J32" s="1"/>
      <c r="K32" s="1"/>
      <c r="L32" s="1"/>
      <c r="M32" s="1"/>
      <c r="N32" s="12"/>
      <c r="O32" s="12"/>
      <c r="P32" s="12"/>
      <c r="Q32" s="12"/>
      <c r="R32" s="12"/>
      <c r="S32" s="12"/>
      <c r="T32" s="12"/>
      <c r="U32" s="12"/>
      <c r="V32" s="12"/>
      <c r="W32" s="1"/>
      <c r="X32" s="1"/>
      <c r="Y32" s="1"/>
      <c r="Z32" s="1"/>
      <c r="AA32" s="1"/>
      <c r="AB32" s="1"/>
      <c r="AC32" s="1"/>
      <c r="AD32" s="1"/>
      <c r="AE32" s="1"/>
      <c r="AF32" s="1"/>
      <c r="AG32" s="1"/>
      <c r="AH32" s="1"/>
      <c r="AI32" s="1"/>
      <c r="AJ32" s="1"/>
      <c r="AK32" s="1"/>
    </row>
    <row r="33" spans="2:37" ht="13.5" thickBot="1" x14ac:dyDescent="0.25">
      <c r="B33" s="210" t="s">
        <v>74</v>
      </c>
      <c r="C33" s="91">
        <v>113.45699999999999</v>
      </c>
      <c r="D33" s="91">
        <v>0.361429</v>
      </c>
      <c r="E33" s="92">
        <v>-1.357E-2</v>
      </c>
      <c r="F33" s="1"/>
      <c r="G33" s="8"/>
      <c r="H33" s="1"/>
      <c r="I33" s="1"/>
      <c r="J33" s="1"/>
      <c r="K33" s="1"/>
      <c r="L33" s="1"/>
      <c r="M33" s="1"/>
      <c r="N33" s="12"/>
      <c r="O33" s="12"/>
      <c r="P33" s="12"/>
      <c r="Q33" s="12"/>
      <c r="R33" s="12"/>
      <c r="S33" s="12"/>
      <c r="T33" s="12"/>
      <c r="U33" s="12"/>
      <c r="V33" s="12"/>
      <c r="W33" s="1"/>
      <c r="X33" s="1"/>
      <c r="Y33" s="1"/>
      <c r="Z33" s="1"/>
      <c r="AA33" s="1"/>
      <c r="AB33" s="1"/>
      <c r="AC33" s="1"/>
      <c r="AD33" s="1"/>
      <c r="AE33" s="1"/>
      <c r="AF33" s="1"/>
      <c r="AG33" s="1"/>
      <c r="AH33" s="1"/>
      <c r="AI33" s="1"/>
      <c r="AJ33" s="1"/>
      <c r="AK33" s="1"/>
    </row>
    <row r="34" spans="2:37" x14ac:dyDescent="0.2">
      <c r="B34" s="25"/>
      <c r="C34" s="53"/>
      <c r="D34" s="53"/>
      <c r="E34" s="53"/>
      <c r="F34" s="1"/>
      <c r="G34" s="8"/>
      <c r="H34" s="1"/>
      <c r="I34" s="1"/>
      <c r="J34" s="1"/>
      <c r="K34" s="1"/>
      <c r="L34" s="1"/>
      <c r="M34" s="1"/>
      <c r="N34" s="12"/>
      <c r="O34" s="12"/>
      <c r="P34" s="12"/>
      <c r="Q34" s="12"/>
      <c r="R34" s="12"/>
      <c r="S34" s="12"/>
      <c r="T34" s="12"/>
      <c r="U34" s="12"/>
      <c r="V34" s="12"/>
      <c r="W34" s="1"/>
      <c r="X34" s="1"/>
      <c r="Y34" s="1"/>
      <c r="Z34" s="1"/>
      <c r="AA34" s="1"/>
      <c r="AB34" s="1"/>
      <c r="AC34" s="1"/>
      <c r="AD34" s="1"/>
      <c r="AE34" s="1"/>
      <c r="AF34" s="1"/>
      <c r="AG34" s="1"/>
      <c r="AH34" s="1"/>
      <c r="AI34" s="1"/>
      <c r="AJ34" s="1"/>
      <c r="AK34" s="1"/>
    </row>
    <row r="35" spans="2:37" x14ac:dyDescent="0.2">
      <c r="B35" s="1"/>
      <c r="C35" s="1"/>
      <c r="D35" s="9"/>
      <c r="E35" s="10"/>
      <c r="F35" s="1"/>
      <c r="G35" s="1"/>
      <c r="H35" s="1"/>
      <c r="I35" s="1"/>
      <c r="J35" s="11"/>
      <c r="K35" s="11"/>
      <c r="L35" s="1"/>
      <c r="M35" s="1"/>
      <c r="N35" s="6"/>
      <c r="O35" s="6"/>
      <c r="P35" s="6"/>
      <c r="Q35" s="6"/>
      <c r="R35" s="6"/>
      <c r="S35" s="6"/>
      <c r="T35" s="6"/>
      <c r="U35" s="6"/>
      <c r="V35" s="6"/>
      <c r="W35" s="1"/>
      <c r="X35" s="1"/>
      <c r="Y35" s="1"/>
      <c r="Z35" s="1"/>
      <c r="AA35" s="1"/>
      <c r="AB35" s="11"/>
      <c r="AC35" s="11"/>
      <c r="AD35" s="1"/>
      <c r="AE35" s="1"/>
      <c r="AF35" s="1"/>
      <c r="AG35" s="1"/>
      <c r="AH35" s="1"/>
      <c r="AI35" s="1"/>
      <c r="AJ35" s="1"/>
      <c r="AK35" s="1"/>
    </row>
    <row r="36" spans="2:37" x14ac:dyDescent="0.2">
      <c r="B36" s="85" t="s">
        <v>60</v>
      </c>
      <c r="C36" s="53"/>
      <c r="D36" s="53"/>
      <c r="E36" s="53"/>
      <c r="F36" s="394"/>
      <c r="G36" s="394"/>
      <c r="H36" s="394"/>
      <c r="I36" s="394"/>
      <c r="J36" s="394"/>
      <c r="K36" s="391"/>
      <c r="L36" s="391"/>
      <c r="M36" s="1"/>
      <c r="N36" s="6"/>
      <c r="O36" s="6"/>
      <c r="P36" s="6"/>
      <c r="Q36" s="6"/>
      <c r="R36" s="6"/>
      <c r="S36" s="6"/>
      <c r="T36" s="6"/>
      <c r="U36" s="6"/>
      <c r="V36" s="6"/>
      <c r="W36" s="1"/>
      <c r="X36" s="1"/>
      <c r="Y36" s="1"/>
      <c r="Z36" s="1"/>
      <c r="AA36" s="1"/>
      <c r="AB36" s="11"/>
      <c r="AC36" s="11"/>
      <c r="AD36" s="1"/>
      <c r="AE36" s="1"/>
      <c r="AF36" s="1"/>
      <c r="AG36" s="1"/>
      <c r="AH36" s="1"/>
      <c r="AI36" s="1"/>
      <c r="AJ36" s="1"/>
      <c r="AK36" s="1"/>
    </row>
    <row r="37" spans="2:37" x14ac:dyDescent="0.2">
      <c r="B37" s="86" t="s">
        <v>61</v>
      </c>
      <c r="C37" s="26"/>
      <c r="D37" s="26"/>
      <c r="E37" s="211" t="s">
        <v>75</v>
      </c>
      <c r="F37" s="27"/>
      <c r="G37" s="10"/>
      <c r="H37" s="28"/>
      <c r="I37" s="28"/>
      <c r="J37" s="28"/>
      <c r="K37" s="28"/>
      <c r="L37" s="28"/>
      <c r="M37" s="1"/>
      <c r="N37" s="6"/>
      <c r="O37" s="6"/>
      <c r="P37" s="6"/>
      <c r="Q37" s="6"/>
      <c r="R37" s="6"/>
      <c r="S37" s="6"/>
      <c r="T37" s="6"/>
      <c r="U37" s="6"/>
      <c r="V37" s="6"/>
      <c r="W37" s="1"/>
      <c r="X37" s="1"/>
      <c r="Y37" s="1"/>
      <c r="Z37" s="1"/>
      <c r="AA37" s="6"/>
      <c r="AB37" s="6"/>
      <c r="AC37" s="1"/>
      <c r="AD37" s="1"/>
      <c r="AE37" s="1"/>
      <c r="AF37" s="1"/>
      <c r="AG37" s="1"/>
      <c r="AH37" s="1"/>
      <c r="AI37" s="1"/>
      <c r="AJ37" s="1"/>
    </row>
    <row r="38" spans="2:37" x14ac:dyDescent="0.2">
      <c r="B38" s="86"/>
      <c r="C38" s="26"/>
      <c r="D38" s="26"/>
      <c r="E38" s="211"/>
      <c r="F38" s="27"/>
      <c r="G38" s="10"/>
      <c r="H38" s="28"/>
      <c r="I38" s="28"/>
      <c r="J38" s="28"/>
      <c r="K38" s="28"/>
      <c r="L38" s="28"/>
      <c r="M38" s="1"/>
      <c r="N38" s="6"/>
      <c r="O38" s="6"/>
      <c r="P38" s="6"/>
      <c r="Q38" s="6"/>
      <c r="R38" s="6"/>
      <c r="S38" s="6"/>
      <c r="T38" s="6"/>
      <c r="U38" s="6"/>
      <c r="V38" s="6"/>
      <c r="W38" s="1"/>
      <c r="X38" s="1"/>
      <c r="Y38" s="1"/>
      <c r="Z38" s="1"/>
      <c r="AA38" s="6"/>
      <c r="AB38" s="6"/>
      <c r="AC38" s="1"/>
      <c r="AD38" s="1"/>
      <c r="AE38" s="1"/>
      <c r="AF38" s="1"/>
      <c r="AG38" s="1"/>
      <c r="AH38" s="1"/>
      <c r="AI38" s="1"/>
      <c r="AJ38" s="1"/>
    </row>
    <row r="39" spans="2:37" x14ac:dyDescent="0.2">
      <c r="B39" s="232" t="s">
        <v>34</v>
      </c>
      <c r="C39" s="233" t="s">
        <v>76</v>
      </c>
      <c r="D39" s="233"/>
      <c r="E39" s="234"/>
      <c r="F39" s="7"/>
      <c r="H39" s="7"/>
      <c r="J39" s="7"/>
      <c r="L39" s="7"/>
      <c r="M39" s="1"/>
      <c r="N39" s="1"/>
      <c r="O39" s="1"/>
      <c r="P39" s="1"/>
      <c r="Q39" s="1"/>
      <c r="R39" s="1"/>
      <c r="S39" s="1"/>
      <c r="T39" s="1"/>
      <c r="U39" s="1"/>
      <c r="V39" s="1"/>
      <c r="W39" s="1"/>
      <c r="X39" s="1"/>
      <c r="Y39" s="1"/>
      <c r="Z39" s="1"/>
      <c r="AA39" s="6"/>
      <c r="AB39" s="6"/>
      <c r="AC39" s="1"/>
      <c r="AD39" s="1"/>
      <c r="AE39" s="1"/>
      <c r="AF39" s="1"/>
      <c r="AG39" s="1"/>
      <c r="AH39" s="1"/>
      <c r="AI39" s="1"/>
      <c r="AJ39" s="1"/>
    </row>
    <row r="40" spans="2:37" x14ac:dyDescent="0.2">
      <c r="B40" s="235" t="s">
        <v>77</v>
      </c>
      <c r="C40" s="3">
        <v>1</v>
      </c>
      <c r="D40" s="1"/>
      <c r="E40" s="236"/>
      <c r="F40" s="7"/>
      <c r="H40" s="7"/>
      <c r="J40" s="7"/>
      <c r="L40" s="7"/>
      <c r="M40" s="1"/>
      <c r="N40" s="1"/>
      <c r="O40" s="1"/>
      <c r="P40" s="1"/>
      <c r="Q40" s="1"/>
      <c r="R40" s="1"/>
      <c r="S40" s="1"/>
      <c r="T40" s="1"/>
      <c r="U40" s="1"/>
      <c r="V40" s="1"/>
      <c r="W40" s="1"/>
      <c r="X40" s="1"/>
      <c r="Y40" s="1"/>
      <c r="Z40" s="1"/>
      <c r="AA40" s="6"/>
      <c r="AB40" s="6"/>
      <c r="AC40" s="1"/>
      <c r="AD40" s="1"/>
      <c r="AE40" s="1"/>
      <c r="AF40" s="1"/>
      <c r="AG40" s="1"/>
      <c r="AH40" s="1"/>
      <c r="AI40" s="1"/>
      <c r="AJ40" s="1"/>
    </row>
    <row r="41" spans="2:37" x14ac:dyDescent="0.2">
      <c r="B41" s="237" t="s">
        <v>78</v>
      </c>
      <c r="C41" s="3">
        <v>0.86</v>
      </c>
      <c r="D41" s="1"/>
      <c r="E41" s="236"/>
      <c r="F41" s="7"/>
      <c r="H41" s="7"/>
      <c r="J41" s="7"/>
      <c r="L41" s="7"/>
      <c r="M41" s="1"/>
      <c r="N41" s="1"/>
      <c r="O41" s="1"/>
      <c r="P41" s="1"/>
      <c r="Q41" s="1"/>
      <c r="R41" s="1"/>
      <c r="S41" s="1"/>
      <c r="T41" s="1"/>
      <c r="U41" s="1"/>
      <c r="V41" s="1"/>
      <c r="W41" s="1"/>
      <c r="X41" s="1"/>
      <c r="Y41" s="1"/>
      <c r="Z41" s="1"/>
      <c r="AA41" s="6"/>
      <c r="AB41" s="6"/>
      <c r="AC41" s="1"/>
      <c r="AD41" s="1"/>
      <c r="AE41" s="1"/>
      <c r="AF41" s="1"/>
      <c r="AG41" s="1"/>
      <c r="AH41" s="1"/>
      <c r="AI41" s="1"/>
      <c r="AJ41" s="1"/>
    </row>
    <row r="42" spans="2:37" x14ac:dyDescent="0.2">
      <c r="B42" s="237" t="s">
        <v>79</v>
      </c>
      <c r="C42" s="3">
        <v>0.72</v>
      </c>
      <c r="D42" s="1"/>
      <c r="E42" s="236"/>
      <c r="F42" s="7"/>
      <c r="H42" s="7"/>
      <c r="J42" s="7"/>
      <c r="L42" s="7"/>
      <c r="M42" s="1"/>
      <c r="N42" s="1"/>
      <c r="O42" s="1"/>
      <c r="P42" s="1"/>
      <c r="Q42" s="1"/>
      <c r="R42" s="1"/>
      <c r="S42" s="1"/>
      <c r="T42" s="1"/>
      <c r="U42" s="1"/>
      <c r="V42" s="1"/>
      <c r="W42" s="1"/>
      <c r="X42" s="1"/>
      <c r="Y42" s="1"/>
      <c r="Z42" s="1"/>
      <c r="AA42" s="6"/>
      <c r="AB42" s="6"/>
      <c r="AC42" s="1"/>
      <c r="AD42" s="1"/>
      <c r="AE42" s="1"/>
      <c r="AF42" s="1"/>
      <c r="AG42" s="1"/>
      <c r="AH42" s="1"/>
      <c r="AI42" s="1"/>
      <c r="AJ42" s="1"/>
    </row>
    <row r="43" spans="2:37" x14ac:dyDescent="0.2">
      <c r="B43" s="237" t="s">
        <v>80</v>
      </c>
      <c r="C43" s="3">
        <v>0.57999999999999996</v>
      </c>
      <c r="D43" s="1"/>
      <c r="E43" s="236"/>
      <c r="F43" s="7"/>
      <c r="H43" s="7"/>
      <c r="J43" s="7"/>
      <c r="L43" s="7"/>
      <c r="M43" s="1"/>
      <c r="N43" s="1"/>
      <c r="O43" s="1"/>
      <c r="P43" s="1"/>
      <c r="Q43" s="1"/>
      <c r="R43" s="1"/>
      <c r="S43" s="1"/>
      <c r="T43" s="1"/>
      <c r="U43" s="1"/>
      <c r="V43" s="1"/>
      <c r="W43" s="1"/>
      <c r="X43" s="1"/>
      <c r="Y43" s="1"/>
      <c r="Z43" s="1"/>
      <c r="AA43" s="6"/>
      <c r="AB43" s="6"/>
      <c r="AC43" s="1"/>
      <c r="AD43" s="1"/>
      <c r="AE43" s="1"/>
      <c r="AF43" s="1"/>
      <c r="AG43" s="1"/>
      <c r="AH43" s="1"/>
      <c r="AI43" s="1"/>
      <c r="AJ43" s="1"/>
    </row>
    <row r="44" spans="2:37" x14ac:dyDescent="0.2">
      <c r="B44" s="237" t="s">
        <v>81</v>
      </c>
      <c r="C44" s="3">
        <v>0.28999999999999998</v>
      </c>
      <c r="D44" s="1"/>
      <c r="E44" s="236"/>
      <c r="F44" s="7"/>
      <c r="H44" s="7"/>
      <c r="J44" s="7"/>
      <c r="L44" s="7"/>
      <c r="M44" s="1"/>
      <c r="N44" s="1"/>
      <c r="O44" s="1"/>
      <c r="P44" s="1"/>
      <c r="Q44" s="1"/>
      <c r="R44" s="1"/>
      <c r="S44" s="1"/>
      <c r="T44" s="1"/>
      <c r="U44" s="1"/>
      <c r="V44" s="1"/>
      <c r="W44" s="1"/>
      <c r="X44" s="1"/>
      <c r="Y44" s="1"/>
      <c r="Z44" s="1"/>
      <c r="AA44" s="6"/>
      <c r="AB44" s="6"/>
      <c r="AC44" s="1"/>
      <c r="AD44" s="1"/>
      <c r="AE44" s="1"/>
      <c r="AF44" s="1"/>
      <c r="AG44" s="1"/>
      <c r="AH44" s="1"/>
      <c r="AI44" s="1"/>
      <c r="AJ44" s="1"/>
    </row>
    <row r="45" spans="2:37" x14ac:dyDescent="0.2">
      <c r="B45" s="238" t="s">
        <v>82</v>
      </c>
      <c r="C45" s="239">
        <v>0.1</v>
      </c>
      <c r="D45" s="240"/>
      <c r="E45" s="241"/>
      <c r="F45" s="7"/>
      <c r="H45" s="7"/>
      <c r="J45" s="7"/>
      <c r="L45" s="7"/>
      <c r="M45" s="1"/>
      <c r="N45" s="1"/>
      <c r="O45" s="1"/>
      <c r="P45" s="1"/>
      <c r="Q45" s="1"/>
      <c r="R45" s="1"/>
      <c r="S45" s="1"/>
      <c r="T45" s="1"/>
      <c r="U45" s="1"/>
      <c r="V45" s="1"/>
      <c r="W45" s="1"/>
      <c r="X45" s="1"/>
      <c r="Y45" s="1"/>
      <c r="Z45" s="1"/>
      <c r="AA45" s="6"/>
      <c r="AB45" s="6"/>
      <c r="AC45" s="1"/>
      <c r="AD45" s="1"/>
      <c r="AE45" s="1"/>
      <c r="AF45" s="1"/>
      <c r="AG45" s="1"/>
      <c r="AH45" s="1"/>
      <c r="AI45" s="1"/>
      <c r="AJ45" s="1"/>
    </row>
    <row r="46" spans="2:37" x14ac:dyDescent="0.2">
      <c r="B46" s="212"/>
      <c r="F46" s="7"/>
      <c r="H46" s="7"/>
      <c r="J46" s="7"/>
      <c r="L46" s="7"/>
      <c r="M46" s="1"/>
      <c r="N46" s="1"/>
      <c r="O46" s="1"/>
      <c r="P46" s="1"/>
      <c r="Q46" s="1"/>
      <c r="R46" s="1"/>
      <c r="S46" s="1"/>
      <c r="T46" s="1"/>
      <c r="U46" s="1"/>
      <c r="V46" s="1"/>
      <c r="W46" s="1"/>
      <c r="X46" s="1"/>
      <c r="Y46" s="1"/>
      <c r="Z46" s="1"/>
      <c r="AA46" s="6"/>
      <c r="AB46" s="6"/>
      <c r="AC46" s="1"/>
      <c r="AD46" s="1"/>
      <c r="AE46" s="1"/>
      <c r="AF46" s="1"/>
      <c r="AG46" s="1"/>
      <c r="AH46" s="1"/>
      <c r="AI46" s="1"/>
      <c r="AJ46" s="1"/>
    </row>
    <row r="47" spans="2:37" x14ac:dyDescent="0.2">
      <c r="B47" s="212" t="s">
        <v>83</v>
      </c>
      <c r="F47" s="7"/>
      <c r="H47" s="7"/>
      <c r="J47" s="7"/>
      <c r="L47" s="7"/>
      <c r="M47" s="1"/>
      <c r="N47" s="1"/>
      <c r="O47" s="1"/>
      <c r="P47" s="1"/>
      <c r="Q47" s="1"/>
      <c r="R47" s="1"/>
      <c r="S47" s="1"/>
      <c r="T47" s="1"/>
      <c r="U47" s="1"/>
      <c r="V47" s="1"/>
      <c r="W47" s="1"/>
      <c r="X47" s="1"/>
      <c r="Y47" s="1"/>
      <c r="Z47" s="1"/>
      <c r="AA47" s="6"/>
      <c r="AB47" s="6"/>
      <c r="AC47" s="1"/>
      <c r="AD47" s="1"/>
      <c r="AE47" s="1"/>
      <c r="AF47" s="1"/>
      <c r="AG47" s="1"/>
      <c r="AH47" s="1"/>
      <c r="AI47" s="1"/>
      <c r="AJ47" s="1"/>
    </row>
    <row r="48" spans="2:37" x14ac:dyDescent="0.2">
      <c r="B48" s="87" t="s">
        <v>62</v>
      </c>
      <c r="F48" s="7"/>
      <c r="H48" s="7"/>
      <c r="J48" s="7"/>
      <c r="L48" s="7"/>
      <c r="M48" s="1"/>
      <c r="N48" s="1"/>
      <c r="O48" s="1"/>
      <c r="P48" s="1"/>
      <c r="Q48" s="1"/>
      <c r="R48" s="1"/>
      <c r="S48" s="1"/>
      <c r="T48" s="1"/>
      <c r="U48" s="1"/>
      <c r="V48" s="1"/>
      <c r="W48" s="1"/>
      <c r="X48" s="1"/>
      <c r="Y48" s="1"/>
      <c r="Z48" s="1"/>
      <c r="AA48" s="6"/>
      <c r="AB48" s="6"/>
      <c r="AC48" s="1"/>
      <c r="AD48" s="1"/>
      <c r="AE48" s="1"/>
      <c r="AF48" s="1"/>
      <c r="AG48" s="1"/>
      <c r="AH48" s="1"/>
      <c r="AI48" s="1"/>
      <c r="AJ48" s="1"/>
    </row>
    <row r="49" spans="2:37" x14ac:dyDescent="0.2">
      <c r="F49" s="7"/>
      <c r="H49" s="7"/>
      <c r="J49" s="7"/>
      <c r="L49" s="7"/>
      <c r="M49" s="1"/>
      <c r="N49" s="1"/>
      <c r="O49" s="1"/>
      <c r="P49" s="1"/>
      <c r="Q49" s="1"/>
      <c r="R49" s="6"/>
      <c r="S49" s="6"/>
      <c r="T49" s="1"/>
      <c r="U49" s="1"/>
      <c r="V49" s="1"/>
      <c r="W49" s="1"/>
      <c r="X49" s="1"/>
      <c r="Y49" s="1"/>
      <c r="Z49" s="1"/>
      <c r="AA49" s="6"/>
      <c r="AB49" s="6"/>
      <c r="AC49" s="1"/>
      <c r="AD49" s="1"/>
      <c r="AE49" s="1"/>
      <c r="AF49" s="1"/>
      <c r="AG49" s="1"/>
      <c r="AH49" s="1"/>
      <c r="AI49" s="1"/>
      <c r="AJ49" s="1"/>
    </row>
    <row r="50" spans="2:37" x14ac:dyDescent="0.2">
      <c r="F50" s="7"/>
      <c r="H50" s="7"/>
      <c r="J50" s="7"/>
      <c r="L50" s="7"/>
      <c r="M50" s="1"/>
      <c r="N50" s="1"/>
      <c r="O50" s="1"/>
      <c r="P50" s="1"/>
      <c r="Q50" s="1"/>
      <c r="R50" s="1"/>
      <c r="S50" s="1"/>
      <c r="T50" s="1"/>
      <c r="U50" s="1"/>
      <c r="V50" s="1"/>
      <c r="W50" s="1"/>
      <c r="X50" s="1"/>
      <c r="Y50" s="1"/>
      <c r="Z50" s="1"/>
      <c r="AA50" s="1"/>
      <c r="AB50" s="1"/>
      <c r="AC50" s="1"/>
      <c r="AD50" s="1"/>
      <c r="AE50" s="1"/>
      <c r="AF50" s="1"/>
      <c r="AG50" s="1"/>
      <c r="AH50" s="1"/>
      <c r="AI50" s="1"/>
      <c r="AJ50" s="1"/>
    </row>
    <row r="51" spans="2:37" x14ac:dyDescent="0.2">
      <c r="F51" s="7"/>
      <c r="H51" s="7"/>
      <c r="J51" s="7"/>
      <c r="L51" s="7"/>
      <c r="M51" s="1"/>
      <c r="N51" s="1"/>
      <c r="O51" s="1"/>
      <c r="P51" s="1"/>
      <c r="Q51" s="1"/>
      <c r="R51" s="1"/>
      <c r="S51" s="1"/>
      <c r="T51" s="1"/>
      <c r="U51" s="1"/>
      <c r="V51" s="1"/>
      <c r="W51" s="1"/>
      <c r="X51" s="1"/>
      <c r="Y51" s="1"/>
      <c r="Z51" s="1"/>
      <c r="AA51" s="1"/>
      <c r="AB51" s="1"/>
      <c r="AC51" s="1"/>
      <c r="AD51" s="1"/>
      <c r="AE51" s="1"/>
      <c r="AF51" s="1"/>
      <c r="AG51" s="1"/>
      <c r="AH51" s="1"/>
      <c r="AI51" s="1"/>
      <c r="AJ51" s="1"/>
    </row>
    <row r="52" spans="2:37" x14ac:dyDescent="0.2">
      <c r="F52" s="7"/>
      <c r="H52" s="7"/>
      <c r="J52" s="7"/>
      <c r="L52" s="7"/>
      <c r="M52" s="12"/>
      <c r="N52" s="12"/>
      <c r="O52" s="1"/>
      <c r="P52" s="1"/>
      <c r="Q52" s="1"/>
      <c r="R52" s="12"/>
      <c r="S52" s="12"/>
      <c r="T52" s="12"/>
      <c r="U52" s="12"/>
      <c r="V52" s="12"/>
      <c r="W52" s="12"/>
      <c r="X52" s="1"/>
      <c r="Y52" s="1"/>
      <c r="Z52" s="1"/>
      <c r="AA52" s="12"/>
      <c r="AB52" s="12"/>
      <c r="AC52" s="12"/>
      <c r="AD52" s="12"/>
      <c r="AE52" s="12"/>
      <c r="AF52" s="12"/>
      <c r="AG52" s="1"/>
      <c r="AH52" s="1"/>
      <c r="AI52" s="1"/>
      <c r="AJ52" s="1"/>
    </row>
    <row r="53" spans="2:37" x14ac:dyDescent="0.2">
      <c r="F53" s="7"/>
      <c r="H53" s="7"/>
      <c r="J53" s="7"/>
      <c r="L53" s="7"/>
      <c r="M53" s="6"/>
      <c r="N53" s="6"/>
      <c r="O53" s="1"/>
      <c r="P53" s="1"/>
      <c r="Q53" s="1"/>
      <c r="R53" s="6"/>
      <c r="S53" s="6"/>
      <c r="T53" s="6"/>
      <c r="U53" s="6"/>
      <c r="V53" s="6"/>
      <c r="W53" s="6"/>
      <c r="X53" s="1"/>
      <c r="Y53" s="1"/>
      <c r="Z53" s="1"/>
      <c r="AA53" s="6"/>
      <c r="AB53" s="6"/>
      <c r="AC53" s="6"/>
      <c r="AD53" s="6"/>
      <c r="AE53" s="6"/>
      <c r="AF53" s="6"/>
      <c r="AG53" s="1"/>
      <c r="AH53" s="1"/>
      <c r="AI53" s="1"/>
      <c r="AJ53" s="1"/>
    </row>
    <row r="54" spans="2:37" x14ac:dyDescent="0.2">
      <c r="F54" s="7"/>
      <c r="H54" s="7"/>
      <c r="J54" s="7"/>
      <c r="L54" s="7"/>
      <c r="M54" s="6"/>
      <c r="N54" s="6"/>
      <c r="O54" s="1"/>
      <c r="P54" s="1"/>
      <c r="Q54" s="1"/>
      <c r="R54" s="6"/>
      <c r="S54" s="6"/>
      <c r="T54" s="6"/>
      <c r="U54" s="6"/>
      <c r="V54" s="6"/>
      <c r="W54" s="6"/>
      <c r="X54" s="1"/>
      <c r="Y54" s="1"/>
      <c r="Z54" s="1"/>
      <c r="AA54" s="6"/>
      <c r="AB54" s="6"/>
      <c r="AC54" s="6"/>
      <c r="AD54" s="6"/>
      <c r="AE54" s="6"/>
      <c r="AF54" s="6"/>
      <c r="AG54" s="1"/>
      <c r="AH54" s="1"/>
      <c r="AI54" s="1"/>
      <c r="AJ54" s="1"/>
    </row>
    <row r="55" spans="2:37" x14ac:dyDescent="0.2">
      <c r="F55" s="7"/>
      <c r="H55" s="7"/>
      <c r="J55" s="7"/>
      <c r="L55" s="7"/>
      <c r="M55" s="6"/>
      <c r="N55" s="6"/>
      <c r="O55" s="1"/>
      <c r="P55" s="1"/>
      <c r="Q55" s="1"/>
      <c r="R55" s="6"/>
      <c r="S55" s="6"/>
      <c r="T55" s="6"/>
      <c r="U55" s="6"/>
      <c r="V55" s="6"/>
      <c r="W55" s="6"/>
      <c r="X55" s="1"/>
      <c r="Y55" s="1"/>
      <c r="Z55" s="1"/>
      <c r="AA55" s="6"/>
      <c r="AB55" s="6"/>
      <c r="AC55" s="6"/>
      <c r="AD55" s="6"/>
      <c r="AE55" s="6"/>
      <c r="AF55" s="6"/>
      <c r="AG55" s="1"/>
      <c r="AH55" s="1"/>
      <c r="AI55" s="1"/>
      <c r="AJ55" s="1"/>
    </row>
    <row r="56" spans="2:37" x14ac:dyDescent="0.2">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7" x14ac:dyDescent="0.2">
      <c r="B57" s="13"/>
      <c r="F57" s="1"/>
      <c r="G57" s="1"/>
      <c r="H57" s="1"/>
      <c r="I57" s="1"/>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
    </row>
    <row r="58" spans="2:37" x14ac:dyDescent="0.2">
      <c r="B58" s="13"/>
      <c r="F58" s="9"/>
      <c r="G58" s="1"/>
      <c r="H58" s="1"/>
      <c r="I58" s="1"/>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1"/>
    </row>
    <row r="59" spans="2:37" x14ac:dyDescent="0.2">
      <c r="B59" s="1"/>
      <c r="C59" s="1"/>
      <c r="D59" s="1"/>
      <c r="E59" s="1"/>
      <c r="F59" s="9"/>
      <c r="G59" s="1"/>
      <c r="H59" s="1"/>
      <c r="I59" s="1"/>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1"/>
    </row>
    <row r="60" spans="2:37" x14ac:dyDescent="0.2">
      <c r="B60" s="1"/>
      <c r="C60" s="1"/>
      <c r="D60" s="1"/>
      <c r="E60" s="1"/>
      <c r="F60" s="9"/>
      <c r="G60" s="1"/>
      <c r="H60" s="1"/>
      <c r="I60" s="1"/>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1"/>
    </row>
    <row r="61" spans="2:37" x14ac:dyDescent="0.2">
      <c r="B61" s="1"/>
      <c r="C61" s="1"/>
      <c r="D61" s="1"/>
      <c r="E61" s="1"/>
      <c r="F61" s="9"/>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2:37" x14ac:dyDescent="0.2">
      <c r="B62" s="1"/>
      <c r="C62" s="1"/>
      <c r="D62" s="1"/>
      <c r="E62" s="1"/>
      <c r="F62" s="9"/>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2:37" x14ac:dyDescent="0.2">
      <c r="B63" s="1"/>
      <c r="C63" s="1"/>
      <c r="D63" s="1"/>
      <c r="E63" s="1"/>
      <c r="F63" s="9"/>
      <c r="G63" s="1"/>
      <c r="H63" s="1"/>
      <c r="I63" s="1"/>
      <c r="J63" s="1"/>
      <c r="K63" s="1"/>
      <c r="L63" s="1"/>
      <c r="M63" s="1"/>
      <c r="N63" s="1"/>
    </row>
    <row r="64" spans="2:37" x14ac:dyDescent="0.2">
      <c r="B64" s="1"/>
      <c r="C64" s="1"/>
      <c r="D64" s="1"/>
      <c r="E64" s="1"/>
      <c r="F64" s="9"/>
      <c r="G64" s="1"/>
      <c r="H64" s="1"/>
      <c r="I64" s="1"/>
      <c r="J64" s="1"/>
      <c r="K64" s="1"/>
      <c r="L64" s="1"/>
      <c r="M64" s="1"/>
      <c r="N64" s="1"/>
    </row>
    <row r="65" spans="2:16" x14ac:dyDescent="0.2">
      <c r="B65" s="1"/>
      <c r="C65" s="1"/>
      <c r="D65" s="1"/>
      <c r="E65" s="1"/>
      <c r="F65" s="9"/>
      <c r="G65" s="1"/>
      <c r="H65" s="1"/>
      <c r="I65" s="1"/>
      <c r="J65" s="1"/>
      <c r="K65" s="1"/>
      <c r="L65" s="1"/>
      <c r="M65" s="1"/>
      <c r="N65" s="1"/>
    </row>
    <row r="66" spans="2:16" x14ac:dyDescent="0.2">
      <c r="B66" s="1"/>
      <c r="C66" s="1"/>
      <c r="D66" s="1"/>
      <c r="E66" s="1"/>
      <c r="F66" s="1"/>
      <c r="G66" s="1"/>
      <c r="H66" s="1"/>
      <c r="I66" s="1"/>
      <c r="J66" s="1"/>
      <c r="K66" s="1"/>
      <c r="L66" s="1"/>
      <c r="M66" s="1"/>
      <c r="N66" s="1"/>
    </row>
    <row r="67" spans="2:16" x14ac:dyDescent="0.2">
      <c r="B67" s="1"/>
      <c r="C67" s="14"/>
      <c r="D67" s="1"/>
      <c r="E67" s="3"/>
      <c r="F67" s="3"/>
      <c r="G67" s="1"/>
      <c r="H67" s="1"/>
      <c r="I67" s="1"/>
      <c r="J67" s="1"/>
      <c r="K67" s="1"/>
      <c r="L67" s="1"/>
      <c r="M67" s="1"/>
      <c r="N67" s="1"/>
    </row>
    <row r="68" spans="2:16" x14ac:dyDescent="0.2">
      <c r="B68" s="1"/>
      <c r="C68" s="14"/>
      <c r="D68" s="1"/>
      <c r="E68" s="3"/>
      <c r="F68" s="3"/>
      <c r="G68" s="1"/>
      <c r="H68" s="1"/>
      <c r="I68" s="1"/>
      <c r="J68" s="1"/>
      <c r="K68" s="1"/>
      <c r="L68" s="1"/>
      <c r="M68" s="1"/>
      <c r="N68" s="1"/>
    </row>
    <row r="69" spans="2:16" x14ac:dyDescent="0.2">
      <c r="B69" s="1"/>
      <c r="C69" s="14"/>
      <c r="D69" s="1"/>
      <c r="E69" s="3"/>
      <c r="F69" s="3"/>
      <c r="G69" s="11"/>
      <c r="H69" s="11"/>
      <c r="I69" s="1"/>
      <c r="J69" s="1"/>
      <c r="K69" s="1"/>
      <c r="L69" s="1"/>
      <c r="M69" s="1"/>
      <c r="N69" s="1"/>
    </row>
    <row r="70" spans="2:16" x14ac:dyDescent="0.2">
      <c r="B70" s="1"/>
      <c r="C70" s="14"/>
      <c r="D70" s="1"/>
      <c r="E70" s="3"/>
      <c r="F70" s="3"/>
      <c r="G70" s="6"/>
      <c r="H70" s="6"/>
      <c r="I70" s="1"/>
      <c r="J70" s="1"/>
      <c r="K70" s="1"/>
      <c r="L70" s="1"/>
      <c r="M70" s="1"/>
      <c r="N70" s="1"/>
    </row>
    <row r="71" spans="2:16" x14ac:dyDescent="0.2">
      <c r="B71" s="1"/>
      <c r="C71" s="14"/>
      <c r="D71" s="1"/>
      <c r="E71" s="3"/>
      <c r="F71" s="3"/>
      <c r="G71" s="6"/>
      <c r="H71" s="6"/>
      <c r="I71" s="1"/>
      <c r="J71" s="1"/>
      <c r="K71" s="1"/>
      <c r="L71" s="1"/>
      <c r="M71" s="1"/>
      <c r="N71" s="1"/>
    </row>
    <row r="72" spans="2:16" x14ac:dyDescent="0.2">
      <c r="B72" s="1"/>
      <c r="C72" s="14"/>
      <c r="D72" s="1"/>
      <c r="E72" s="3"/>
      <c r="F72" s="3"/>
      <c r="G72" s="6"/>
      <c r="H72" s="6"/>
      <c r="I72" s="1"/>
      <c r="J72" s="1"/>
      <c r="K72" s="1"/>
      <c r="L72" s="1"/>
      <c r="M72" s="1"/>
      <c r="N72" s="1"/>
    </row>
    <row r="73" spans="2:16" x14ac:dyDescent="0.2">
      <c r="B73" s="1"/>
      <c r="C73" s="14"/>
      <c r="D73" s="1"/>
      <c r="E73" s="3"/>
      <c r="F73" s="3"/>
      <c r="G73" s="6"/>
      <c r="H73" s="6"/>
      <c r="I73" s="1"/>
      <c r="J73" s="1"/>
      <c r="K73" s="1"/>
      <c r="L73" s="1"/>
      <c r="M73" s="1"/>
      <c r="N73" s="1"/>
    </row>
    <row r="74" spans="2:16" x14ac:dyDescent="0.2">
      <c r="B74" s="1"/>
      <c r="C74" s="14"/>
      <c r="D74" s="1"/>
      <c r="E74" s="3"/>
      <c r="F74" s="3"/>
      <c r="G74" s="6"/>
      <c r="H74" s="6"/>
      <c r="I74" s="1"/>
      <c r="J74" s="1"/>
      <c r="K74" s="1"/>
      <c r="L74" s="1"/>
      <c r="M74" s="1"/>
      <c r="N74" s="1"/>
    </row>
    <row r="75" spans="2:16" x14ac:dyDescent="0.2">
      <c r="B75" s="1"/>
      <c r="C75" s="14"/>
      <c r="D75" s="1"/>
      <c r="E75" s="3"/>
      <c r="F75" s="3"/>
      <c r="G75" s="1"/>
      <c r="H75" s="1"/>
      <c r="I75" s="1"/>
      <c r="J75" s="1"/>
      <c r="K75" s="1"/>
      <c r="L75" s="1"/>
      <c r="M75" s="1"/>
      <c r="N75" s="1"/>
    </row>
    <row r="76" spans="2:16" x14ac:dyDescent="0.2">
      <c r="B76" s="1"/>
      <c r="C76" s="14"/>
      <c r="D76" s="1"/>
      <c r="E76" s="3"/>
      <c r="F76" s="3"/>
      <c r="G76" s="1"/>
      <c r="H76" s="1"/>
      <c r="I76" s="1"/>
      <c r="J76" s="1"/>
      <c r="K76" s="1"/>
      <c r="L76" s="1"/>
      <c r="M76" s="1"/>
      <c r="N76" s="1"/>
    </row>
    <row r="77" spans="2:16" x14ac:dyDescent="0.2">
      <c r="B77" s="1"/>
      <c r="C77" s="14"/>
      <c r="D77" s="1"/>
      <c r="E77" s="3"/>
      <c r="F77" s="3"/>
      <c r="G77" s="12"/>
      <c r="H77" s="12"/>
      <c r="I77" s="12"/>
      <c r="J77" s="12"/>
      <c r="K77" s="12"/>
      <c r="L77" s="12"/>
      <c r="M77" s="1"/>
      <c r="N77" s="1"/>
    </row>
    <row r="78" spans="2:16" x14ac:dyDescent="0.2">
      <c r="B78" s="1"/>
      <c r="C78" s="14"/>
      <c r="D78" s="1"/>
      <c r="E78" s="3"/>
      <c r="F78" s="3"/>
      <c r="G78" s="6"/>
      <c r="H78" s="6"/>
      <c r="I78" s="6"/>
      <c r="J78" s="6"/>
      <c r="K78" s="6"/>
      <c r="L78" s="6"/>
      <c r="M78" s="1"/>
      <c r="N78" s="1"/>
    </row>
    <row r="79" spans="2:16" x14ac:dyDescent="0.2">
      <c r="B79" s="1"/>
      <c r="C79" s="14"/>
      <c r="D79" s="1"/>
      <c r="E79" s="3"/>
      <c r="F79" s="3"/>
      <c r="G79" s="6"/>
      <c r="H79" s="6"/>
      <c r="I79" s="6"/>
      <c r="J79" s="6"/>
      <c r="K79" s="6"/>
      <c r="L79" s="6"/>
      <c r="M79" s="1"/>
      <c r="N79" s="1"/>
    </row>
    <row r="80" spans="2:16" x14ac:dyDescent="0.2">
      <c r="B80" s="1"/>
      <c r="C80" s="14"/>
      <c r="D80" s="1"/>
      <c r="E80" s="3"/>
      <c r="F80" s="3"/>
      <c r="G80" s="6"/>
      <c r="H80" s="6"/>
      <c r="I80" s="6"/>
      <c r="J80" s="6"/>
      <c r="K80" s="6"/>
      <c r="L80" s="6"/>
      <c r="M80" s="1"/>
      <c r="N80" s="1"/>
      <c r="O80" s="1"/>
      <c r="P80" s="1"/>
    </row>
    <row r="81" spans="2:16" x14ac:dyDescent="0.2">
      <c r="B81" s="1"/>
      <c r="C81" s="14"/>
      <c r="D81" s="1"/>
      <c r="E81" s="3"/>
      <c r="F81" s="3"/>
      <c r="G81" s="1"/>
      <c r="H81" s="1"/>
      <c r="I81" s="1"/>
      <c r="J81" s="1"/>
      <c r="K81" s="1"/>
      <c r="L81" s="1"/>
      <c r="M81" s="1"/>
      <c r="N81" s="1"/>
      <c r="O81" s="1"/>
      <c r="P81" s="1"/>
    </row>
    <row r="82" spans="2:16" x14ac:dyDescent="0.2">
      <c r="B82" s="1"/>
      <c r="C82" s="14"/>
      <c r="D82" s="1"/>
      <c r="E82" s="3"/>
      <c r="F82" s="3"/>
      <c r="G82" s="12"/>
      <c r="H82" s="12"/>
      <c r="I82" s="12"/>
      <c r="J82" s="12"/>
      <c r="K82" s="12"/>
      <c r="L82" s="12"/>
      <c r="M82" s="12"/>
      <c r="N82" s="12"/>
      <c r="O82" s="12"/>
      <c r="P82" s="1"/>
    </row>
    <row r="83" spans="2:16" x14ac:dyDescent="0.2">
      <c r="B83" s="1"/>
      <c r="C83" s="14"/>
      <c r="D83" s="1"/>
      <c r="E83" s="3"/>
      <c r="F83" s="3"/>
      <c r="G83" s="6"/>
      <c r="H83" s="6"/>
      <c r="I83" s="6"/>
      <c r="J83" s="6"/>
      <c r="K83" s="6"/>
      <c r="L83" s="6"/>
      <c r="M83" s="6"/>
      <c r="N83" s="6"/>
      <c r="O83" s="6"/>
      <c r="P83" s="1"/>
    </row>
    <row r="84" spans="2:16" x14ac:dyDescent="0.2">
      <c r="B84" s="1"/>
      <c r="C84" s="14"/>
      <c r="D84" s="1"/>
      <c r="E84" s="3"/>
      <c r="F84" s="3"/>
      <c r="G84" s="6"/>
      <c r="H84" s="6"/>
      <c r="I84" s="6"/>
      <c r="J84" s="6"/>
      <c r="K84" s="6"/>
      <c r="L84" s="6"/>
      <c r="M84" s="6"/>
      <c r="N84" s="6"/>
      <c r="O84" s="6"/>
      <c r="P84" s="1"/>
    </row>
    <row r="85" spans="2:16" x14ac:dyDescent="0.2">
      <c r="B85" s="1"/>
      <c r="C85" s="14"/>
      <c r="D85" s="1"/>
      <c r="E85" s="3"/>
      <c r="F85" s="3"/>
      <c r="G85" s="6"/>
      <c r="H85" s="6"/>
      <c r="I85" s="6"/>
      <c r="J85" s="6"/>
      <c r="K85" s="6"/>
      <c r="L85" s="6"/>
      <c r="M85" s="6"/>
      <c r="N85" s="6"/>
      <c r="O85" s="6"/>
      <c r="P85" s="1"/>
    </row>
    <row r="86" spans="2:16" x14ac:dyDescent="0.2">
      <c r="B86" s="1"/>
      <c r="C86" s="14"/>
      <c r="D86" s="1"/>
      <c r="E86" s="3"/>
      <c r="F86" s="3"/>
      <c r="G86" s="6"/>
      <c r="H86" s="6"/>
      <c r="I86" s="6"/>
      <c r="J86" s="6"/>
      <c r="K86" s="6"/>
      <c r="L86" s="6"/>
      <c r="M86" s="6"/>
      <c r="N86" s="6"/>
      <c r="O86" s="6"/>
      <c r="P86" s="1"/>
    </row>
    <row r="87" spans="2:16" x14ac:dyDescent="0.2">
      <c r="B87" s="1"/>
      <c r="C87" s="14"/>
      <c r="D87" s="1"/>
      <c r="E87" s="3"/>
      <c r="F87" s="3"/>
      <c r="G87" s="1"/>
      <c r="H87" s="1"/>
      <c r="I87" s="1"/>
      <c r="J87" s="1"/>
      <c r="K87" s="1"/>
      <c r="L87" s="1"/>
      <c r="M87" s="1"/>
      <c r="N87" s="1"/>
    </row>
    <row r="88" spans="2:16" x14ac:dyDescent="0.2">
      <c r="B88" s="1"/>
      <c r="C88" s="14"/>
      <c r="D88" s="1"/>
      <c r="E88" s="3"/>
      <c r="F88" s="3"/>
      <c r="G88" s="1"/>
      <c r="H88" s="1"/>
      <c r="I88" s="1"/>
      <c r="J88" s="1"/>
      <c r="K88" s="1"/>
      <c r="L88" s="1"/>
      <c r="M88" s="1"/>
      <c r="N88" s="1"/>
    </row>
    <row r="89" spans="2:16" x14ac:dyDescent="0.2">
      <c r="B89" s="1"/>
      <c r="C89" s="14"/>
      <c r="D89" s="1"/>
      <c r="E89" s="3"/>
      <c r="F89" s="3"/>
      <c r="G89" s="1"/>
      <c r="H89" s="1"/>
      <c r="I89" s="1"/>
      <c r="J89" s="1"/>
      <c r="K89" s="1"/>
      <c r="L89" s="1"/>
      <c r="M89" s="1"/>
      <c r="N89" s="1"/>
    </row>
    <row r="90" spans="2:16" x14ac:dyDescent="0.2">
      <c r="B90" s="1"/>
      <c r="C90" s="14"/>
      <c r="D90" s="1"/>
      <c r="E90" s="3"/>
      <c r="F90" s="3"/>
      <c r="G90" s="1"/>
      <c r="H90" s="1"/>
      <c r="I90" s="1"/>
      <c r="J90" s="1"/>
      <c r="K90" s="1"/>
      <c r="L90" s="1"/>
      <c r="M90" s="1"/>
      <c r="N90" s="1"/>
    </row>
    <row r="91" spans="2:16" x14ac:dyDescent="0.2">
      <c r="B91" s="1"/>
      <c r="C91" s="14"/>
      <c r="D91" s="1"/>
      <c r="E91" s="3"/>
      <c r="F91" s="3"/>
      <c r="G91" s="1"/>
      <c r="H91" s="1"/>
      <c r="I91" s="1"/>
      <c r="J91" s="1"/>
      <c r="K91" s="1"/>
      <c r="L91" s="1"/>
      <c r="M91" s="1"/>
      <c r="N91" s="1"/>
    </row>
    <row r="92" spans="2:16" x14ac:dyDescent="0.2">
      <c r="B92" s="1"/>
      <c r="C92" s="14"/>
      <c r="D92" s="1"/>
      <c r="E92" s="15"/>
      <c r="F92" s="3"/>
      <c r="G92" s="1"/>
      <c r="H92" s="1"/>
      <c r="I92" s="1"/>
      <c r="J92" s="1"/>
      <c r="K92" s="1"/>
      <c r="L92" s="1"/>
      <c r="M92" s="1"/>
      <c r="N92" s="1"/>
    </row>
    <row r="93" spans="2:16" x14ac:dyDescent="0.2">
      <c r="B93" s="1"/>
      <c r="C93" s="14"/>
      <c r="D93" s="1"/>
      <c r="E93" s="15"/>
      <c r="F93" s="3"/>
      <c r="G93" s="1"/>
      <c r="H93" s="1"/>
      <c r="I93" s="1"/>
      <c r="J93" s="1"/>
      <c r="K93" s="1"/>
      <c r="L93" s="1"/>
      <c r="M93" s="1"/>
      <c r="N93" s="1"/>
    </row>
    <row r="94" spans="2:16" x14ac:dyDescent="0.2">
      <c r="B94" s="1"/>
      <c r="C94" s="14"/>
      <c r="D94" s="1"/>
      <c r="E94" s="15"/>
      <c r="F94" s="3"/>
      <c r="G94" s="1"/>
      <c r="H94" s="1"/>
      <c r="I94" s="1"/>
      <c r="J94" s="1"/>
      <c r="K94" s="1"/>
      <c r="L94" s="1"/>
      <c r="M94" s="1"/>
      <c r="N94" s="1"/>
    </row>
    <row r="95" spans="2:16" x14ac:dyDescent="0.2">
      <c r="B95" s="1"/>
      <c r="C95" s="1"/>
      <c r="D95" s="1"/>
      <c r="E95" s="1"/>
      <c r="F95" s="1"/>
      <c r="G95" s="1"/>
      <c r="H95" s="1"/>
      <c r="I95" s="1"/>
      <c r="J95" s="1"/>
      <c r="K95" s="1"/>
      <c r="L95" s="1"/>
      <c r="M95" s="1"/>
      <c r="N95" s="1"/>
    </row>
    <row r="96" spans="2:16" x14ac:dyDescent="0.2">
      <c r="B96" s="1"/>
      <c r="C96" s="1"/>
      <c r="D96" s="1"/>
      <c r="E96" s="1"/>
      <c r="F96" s="1"/>
      <c r="G96" s="1"/>
      <c r="H96" s="1"/>
      <c r="I96" s="1"/>
      <c r="J96" s="1"/>
      <c r="K96" s="1"/>
      <c r="L96" s="1"/>
      <c r="M96" s="1"/>
      <c r="N96" s="1"/>
    </row>
    <row r="97" spans="2:14" x14ac:dyDescent="0.2">
      <c r="B97" s="1"/>
      <c r="C97" s="1"/>
      <c r="D97" s="1"/>
      <c r="E97" s="1"/>
      <c r="F97" s="1"/>
      <c r="G97" s="1"/>
      <c r="H97" s="1"/>
      <c r="I97" s="1"/>
      <c r="J97" s="1"/>
      <c r="K97" s="1"/>
      <c r="L97" s="1"/>
      <c r="M97" s="1"/>
      <c r="N97" s="1"/>
    </row>
    <row r="98" spans="2:14" x14ac:dyDescent="0.2">
      <c r="B98" s="16"/>
      <c r="C98" s="1"/>
      <c r="D98" s="1"/>
      <c r="E98" s="1"/>
      <c r="F98" s="1"/>
      <c r="G98" s="1"/>
      <c r="H98" s="1"/>
      <c r="I98" s="1"/>
      <c r="J98" s="1"/>
      <c r="K98" s="1"/>
      <c r="L98" s="1"/>
      <c r="M98" s="1"/>
      <c r="N98" s="1"/>
    </row>
    <row r="99" spans="2:14" x14ac:dyDescent="0.2">
      <c r="B99" s="17"/>
      <c r="C99" s="18"/>
      <c r="D99" s="14"/>
      <c r="E99" s="1"/>
      <c r="F99" s="19"/>
      <c r="G99" s="1"/>
      <c r="H99" s="19"/>
      <c r="I99" s="1"/>
      <c r="J99" s="20"/>
      <c r="K99" s="1"/>
      <c r="L99" s="19"/>
      <c r="M99" s="1"/>
      <c r="N99" s="20"/>
    </row>
    <row r="100" spans="2:14" x14ac:dyDescent="0.2">
      <c r="B100" s="17"/>
      <c r="C100" s="18"/>
      <c r="D100" s="14"/>
      <c r="E100" s="1"/>
      <c r="F100" s="19"/>
      <c r="G100" s="1"/>
      <c r="H100" s="19"/>
      <c r="I100" s="1"/>
      <c r="J100" s="20"/>
      <c r="K100" s="1"/>
      <c r="L100" s="19"/>
      <c r="M100" s="1"/>
      <c r="N100" s="20"/>
    </row>
    <row r="101" spans="2:14" x14ac:dyDescent="0.2">
      <c r="B101" s="17"/>
      <c r="C101" s="18"/>
      <c r="D101" s="14"/>
      <c r="E101" s="1"/>
      <c r="F101" s="19"/>
      <c r="G101" s="1"/>
      <c r="H101" s="19"/>
      <c r="I101" s="1"/>
      <c r="J101" s="20"/>
      <c r="K101" s="1"/>
      <c r="L101" s="19"/>
      <c r="M101" s="1"/>
      <c r="N101" s="20"/>
    </row>
    <row r="102" spans="2:14" x14ac:dyDescent="0.2">
      <c r="B102" s="17"/>
      <c r="C102" s="18"/>
      <c r="D102" s="14"/>
      <c r="E102" s="1"/>
      <c r="F102" s="19"/>
      <c r="G102" s="1"/>
      <c r="H102" s="19"/>
      <c r="I102" s="1"/>
      <c r="J102" s="20"/>
      <c r="K102" s="1"/>
      <c r="L102" s="19"/>
      <c r="M102" s="1"/>
      <c r="N102" s="20"/>
    </row>
    <row r="103" spans="2:14" x14ac:dyDescent="0.2">
      <c r="B103" s="17"/>
      <c r="C103" s="18"/>
      <c r="D103" s="14"/>
      <c r="E103" s="1"/>
      <c r="F103" s="19"/>
      <c r="G103" s="1"/>
      <c r="H103" s="19"/>
      <c r="I103" s="1"/>
      <c r="J103" s="20"/>
      <c r="K103" s="1"/>
      <c r="L103" s="19"/>
      <c r="M103" s="1"/>
      <c r="N103" s="20"/>
    </row>
    <row r="104" spans="2:14" x14ac:dyDescent="0.2">
      <c r="B104" s="21"/>
      <c r="C104" s="18"/>
      <c r="D104" s="14"/>
      <c r="E104" s="1"/>
      <c r="F104" s="19"/>
      <c r="G104" s="1"/>
      <c r="H104" s="19"/>
      <c r="I104" s="1"/>
      <c r="J104" s="20"/>
      <c r="K104" s="1"/>
      <c r="L104" s="19"/>
      <c r="M104" s="1"/>
      <c r="N104" s="20"/>
    </row>
    <row r="105" spans="2:14" x14ac:dyDescent="0.2">
      <c r="B105" s="17"/>
      <c r="C105" s="18"/>
      <c r="D105" s="14"/>
      <c r="E105" s="1"/>
      <c r="F105" s="19"/>
      <c r="G105" s="1"/>
      <c r="H105" s="19"/>
      <c r="I105" s="1"/>
      <c r="J105" s="20"/>
      <c r="K105" s="1"/>
      <c r="L105" s="19"/>
      <c r="M105" s="1"/>
      <c r="N105" s="20"/>
    </row>
    <row r="106" spans="2:14" x14ac:dyDescent="0.2">
      <c r="B106" s="17"/>
      <c r="C106" s="18"/>
      <c r="D106" s="14"/>
      <c r="E106" s="1"/>
      <c r="F106" s="19"/>
      <c r="G106" s="1"/>
      <c r="H106" s="19"/>
      <c r="I106" s="1"/>
      <c r="J106" s="20"/>
      <c r="K106" s="1"/>
      <c r="L106" s="19"/>
      <c r="M106" s="1"/>
      <c r="N106" s="20"/>
    </row>
    <row r="107" spans="2:14" x14ac:dyDescent="0.2">
      <c r="B107" s="17"/>
      <c r="C107" s="18"/>
      <c r="D107" s="14"/>
      <c r="E107" s="1"/>
      <c r="F107" s="19"/>
      <c r="G107" s="1"/>
      <c r="H107" s="19"/>
      <c r="I107" s="1"/>
      <c r="J107" s="20"/>
      <c r="K107" s="1"/>
      <c r="L107" s="19"/>
      <c r="M107" s="1"/>
      <c r="N107" s="20"/>
    </row>
    <row r="108" spans="2:14" x14ac:dyDescent="0.2">
      <c r="B108" s="17"/>
      <c r="C108" s="18"/>
      <c r="D108" s="14"/>
      <c r="E108" s="1"/>
      <c r="F108" s="19"/>
      <c r="G108" s="1"/>
      <c r="H108" s="19"/>
      <c r="I108" s="1"/>
      <c r="J108" s="20"/>
      <c r="K108" s="1"/>
      <c r="L108" s="19"/>
      <c r="M108" s="1"/>
      <c r="N108" s="20"/>
    </row>
    <row r="109" spans="2:14" x14ac:dyDescent="0.2">
      <c r="B109" s="1"/>
      <c r="C109" s="1"/>
      <c r="D109" s="1"/>
      <c r="E109" s="1"/>
      <c r="F109" s="1"/>
      <c r="G109" s="1"/>
      <c r="H109" s="1"/>
      <c r="I109" s="1"/>
      <c r="J109" s="1"/>
      <c r="K109" s="1"/>
      <c r="L109" s="1"/>
      <c r="M109" s="1"/>
      <c r="N109" s="1"/>
    </row>
    <row r="110" spans="2:14" x14ac:dyDescent="0.2">
      <c r="B110" s="1"/>
      <c r="C110" s="1"/>
      <c r="D110" s="1"/>
      <c r="E110" s="1"/>
      <c r="F110" s="1"/>
      <c r="G110" s="1"/>
      <c r="H110" s="1"/>
      <c r="I110" s="1"/>
      <c r="J110" s="1"/>
      <c r="K110" s="1"/>
      <c r="L110" s="1"/>
      <c r="M110" s="1"/>
      <c r="N110" s="1"/>
    </row>
    <row r="111" spans="2:14" x14ac:dyDescent="0.2">
      <c r="B111" s="1"/>
      <c r="C111" s="1"/>
      <c r="D111" s="1"/>
      <c r="E111" s="1"/>
      <c r="F111" s="1"/>
      <c r="G111" s="1"/>
      <c r="H111" s="1"/>
      <c r="I111" s="1"/>
      <c r="J111" s="1"/>
      <c r="K111" s="1"/>
      <c r="L111" s="1"/>
      <c r="M111" s="1"/>
      <c r="N111" s="1"/>
    </row>
    <row r="112" spans="2:14" x14ac:dyDescent="0.2">
      <c r="B112" s="1"/>
      <c r="C112" s="1"/>
      <c r="D112" s="1"/>
      <c r="E112" s="1"/>
      <c r="F112" s="1"/>
      <c r="G112" s="1"/>
      <c r="H112" s="1"/>
      <c r="I112" s="1"/>
      <c r="J112" s="1"/>
      <c r="K112" s="1"/>
      <c r="L112" s="1"/>
      <c r="M112" s="1"/>
      <c r="N112" s="1"/>
    </row>
    <row r="113" spans="2:14" x14ac:dyDescent="0.2">
      <c r="B113" s="1"/>
      <c r="C113" s="1"/>
      <c r="D113" s="1"/>
      <c r="E113" s="1"/>
      <c r="F113" s="1"/>
      <c r="G113" s="1"/>
      <c r="H113" s="1"/>
      <c r="I113" s="1"/>
      <c r="J113" s="1"/>
      <c r="K113" s="1"/>
      <c r="L113" s="1"/>
      <c r="M113" s="1"/>
      <c r="N113" s="1"/>
    </row>
    <row r="114" spans="2:14" x14ac:dyDescent="0.2">
      <c r="B114" s="1"/>
      <c r="C114" s="1"/>
      <c r="D114" s="1"/>
      <c r="E114" s="1"/>
      <c r="F114" s="1"/>
      <c r="G114" s="1"/>
      <c r="H114" s="1"/>
      <c r="I114" s="1"/>
      <c r="J114" s="1"/>
      <c r="K114" s="1"/>
      <c r="L114" s="1"/>
      <c r="M114" s="1"/>
      <c r="N114" s="1"/>
    </row>
    <row r="115" spans="2:14" x14ac:dyDescent="0.2">
      <c r="B115" s="1"/>
      <c r="C115" s="1"/>
      <c r="D115" s="1"/>
      <c r="E115" s="1"/>
      <c r="F115" s="1"/>
      <c r="G115" s="1"/>
      <c r="H115" s="1"/>
      <c r="I115" s="1"/>
      <c r="J115" s="1"/>
      <c r="K115" s="1"/>
      <c r="L115" s="1"/>
      <c r="M115" s="1"/>
      <c r="N115" s="1"/>
    </row>
    <row r="116" spans="2:14" x14ac:dyDescent="0.2">
      <c r="B116" s="1"/>
      <c r="C116" s="1"/>
      <c r="D116" s="1"/>
      <c r="E116" s="1"/>
      <c r="F116" s="1"/>
      <c r="G116" s="1"/>
      <c r="H116" s="1"/>
      <c r="I116" s="1"/>
      <c r="J116" s="1"/>
      <c r="K116" s="1"/>
      <c r="L116" s="1"/>
      <c r="M116" s="1"/>
      <c r="N116" s="1"/>
    </row>
    <row r="117" spans="2:14" x14ac:dyDescent="0.2">
      <c r="B117" s="1"/>
      <c r="C117" s="1"/>
      <c r="D117" s="1"/>
      <c r="E117" s="1"/>
      <c r="F117" s="1"/>
      <c r="G117" s="1"/>
      <c r="H117" s="1"/>
      <c r="I117" s="1"/>
      <c r="J117" s="1"/>
      <c r="K117" s="1"/>
      <c r="L117" s="1"/>
      <c r="M117" s="1"/>
      <c r="N117" s="1"/>
    </row>
    <row r="118" spans="2:14" x14ac:dyDescent="0.2">
      <c r="B118" s="1"/>
      <c r="C118" s="1"/>
      <c r="D118" s="1"/>
      <c r="E118" s="1"/>
      <c r="F118" s="1"/>
      <c r="G118" s="1"/>
      <c r="H118" s="1"/>
      <c r="I118" s="1"/>
      <c r="J118" s="1"/>
      <c r="K118" s="1"/>
      <c r="L118" s="1"/>
      <c r="M118" s="1"/>
      <c r="N118" s="1"/>
    </row>
    <row r="119" spans="2:14" x14ac:dyDescent="0.2">
      <c r="B119" s="1"/>
      <c r="C119" s="1"/>
      <c r="D119" s="1"/>
      <c r="E119" s="1"/>
      <c r="F119" s="1"/>
      <c r="G119" s="1"/>
      <c r="H119" s="1"/>
      <c r="I119" s="1"/>
      <c r="J119" s="1"/>
      <c r="K119" s="1"/>
      <c r="L119" s="1"/>
      <c r="M119" s="1"/>
      <c r="N119" s="1"/>
    </row>
    <row r="120" spans="2:14" x14ac:dyDescent="0.2">
      <c r="B120" s="1"/>
      <c r="C120" s="1"/>
      <c r="D120" s="1"/>
      <c r="E120" s="1"/>
      <c r="F120" s="1"/>
      <c r="G120" s="1"/>
      <c r="H120" s="1"/>
      <c r="I120" s="1"/>
      <c r="J120" s="1"/>
      <c r="K120" s="1"/>
      <c r="L120" s="1"/>
      <c r="M120" s="1"/>
      <c r="N120" s="1"/>
    </row>
    <row r="121" spans="2:14" x14ac:dyDescent="0.2">
      <c r="B121" s="1"/>
      <c r="C121" s="1"/>
      <c r="D121" s="1"/>
      <c r="E121" s="1"/>
      <c r="F121" s="1"/>
      <c r="G121" s="1"/>
      <c r="H121" s="1"/>
      <c r="I121" s="1"/>
      <c r="J121" s="1"/>
      <c r="K121" s="1"/>
      <c r="L121" s="1"/>
      <c r="M121" s="1"/>
      <c r="N121" s="1"/>
    </row>
    <row r="122" spans="2:14" x14ac:dyDescent="0.2">
      <c r="B122" s="1"/>
      <c r="C122" s="1"/>
      <c r="D122" s="1"/>
      <c r="E122" s="1"/>
      <c r="F122" s="1"/>
      <c r="G122" s="1"/>
      <c r="H122" s="1"/>
      <c r="I122" s="1"/>
      <c r="J122" s="1"/>
      <c r="K122" s="1"/>
      <c r="L122" s="1"/>
      <c r="M122" s="1"/>
      <c r="N122" s="1"/>
    </row>
    <row r="123" spans="2:14" x14ac:dyDescent="0.2">
      <c r="B123" s="1"/>
      <c r="C123" s="1"/>
      <c r="D123" s="1"/>
      <c r="E123" s="1"/>
      <c r="F123" s="1"/>
      <c r="G123" s="1"/>
      <c r="H123" s="1"/>
      <c r="I123" s="1"/>
      <c r="J123" s="1"/>
      <c r="K123" s="1"/>
      <c r="L123" s="1"/>
      <c r="M123" s="1"/>
      <c r="N123" s="1"/>
    </row>
    <row r="124" spans="2:14" x14ac:dyDescent="0.2">
      <c r="B124" s="1"/>
      <c r="C124" s="1"/>
      <c r="D124" s="1"/>
      <c r="E124" s="1"/>
      <c r="F124" s="1"/>
      <c r="G124" s="1"/>
      <c r="H124" s="1"/>
      <c r="I124" s="1"/>
      <c r="J124" s="1"/>
      <c r="K124" s="1"/>
      <c r="L124" s="1"/>
      <c r="M124" s="1"/>
      <c r="N124" s="1"/>
    </row>
    <row r="125" spans="2:14" x14ac:dyDescent="0.2">
      <c r="B125" s="1"/>
      <c r="C125" s="1"/>
      <c r="D125" s="1"/>
      <c r="E125" s="1"/>
      <c r="F125" s="1"/>
      <c r="G125" s="1"/>
      <c r="H125" s="1"/>
      <c r="I125" s="1"/>
      <c r="J125" s="1"/>
      <c r="K125" s="1"/>
      <c r="L125" s="1"/>
      <c r="M125" s="1"/>
      <c r="N125" s="1"/>
    </row>
    <row r="126" spans="2:14" x14ac:dyDescent="0.2">
      <c r="B126" s="1"/>
      <c r="C126" s="1"/>
      <c r="D126" s="1"/>
      <c r="E126" s="1"/>
      <c r="F126" s="1"/>
      <c r="G126" s="1"/>
      <c r="H126" s="1"/>
      <c r="I126" s="1"/>
      <c r="J126" s="1"/>
      <c r="K126" s="1"/>
      <c r="L126" s="1"/>
      <c r="M126" s="1"/>
      <c r="N126" s="1"/>
    </row>
    <row r="127" spans="2:14" x14ac:dyDescent="0.2">
      <c r="B127" s="1"/>
      <c r="C127" s="1"/>
      <c r="D127" s="1"/>
      <c r="E127" s="1"/>
      <c r="F127" s="1"/>
      <c r="G127" s="1"/>
      <c r="H127" s="1"/>
      <c r="I127" s="1"/>
      <c r="J127" s="1"/>
      <c r="K127" s="1"/>
      <c r="L127" s="1"/>
      <c r="M127" s="1"/>
      <c r="N127" s="1"/>
    </row>
    <row r="128" spans="2:14" x14ac:dyDescent="0.2">
      <c r="B128" s="1"/>
      <c r="C128" s="1"/>
      <c r="D128" s="1"/>
      <c r="E128" s="1"/>
      <c r="F128" s="1"/>
      <c r="G128" s="1"/>
      <c r="H128" s="1"/>
      <c r="I128" s="1"/>
      <c r="J128" s="1"/>
      <c r="K128" s="1"/>
      <c r="L128" s="1"/>
      <c r="M128" s="1"/>
      <c r="N128" s="1"/>
    </row>
    <row r="129" spans="2:14" x14ac:dyDescent="0.2">
      <c r="B129" s="1"/>
      <c r="C129" s="1"/>
      <c r="D129" s="1"/>
      <c r="E129" s="1"/>
      <c r="F129" s="1"/>
      <c r="G129" s="1"/>
      <c r="H129" s="1"/>
      <c r="I129" s="1"/>
      <c r="J129" s="1"/>
      <c r="K129" s="1"/>
      <c r="L129" s="1"/>
      <c r="M129" s="1"/>
      <c r="N129" s="1"/>
    </row>
    <row r="130" spans="2:14" x14ac:dyDescent="0.2">
      <c r="B130" s="1"/>
      <c r="C130" s="1"/>
      <c r="D130" s="1"/>
      <c r="E130" s="1"/>
      <c r="F130" s="1"/>
      <c r="G130" s="1"/>
      <c r="H130" s="1"/>
      <c r="I130" s="1"/>
      <c r="J130" s="1"/>
      <c r="K130" s="1"/>
      <c r="L130" s="1"/>
      <c r="M130" s="1"/>
      <c r="N130" s="1"/>
    </row>
    <row r="131" spans="2:14" x14ac:dyDescent="0.2">
      <c r="B131" s="1"/>
      <c r="C131" s="1"/>
      <c r="D131" s="1"/>
      <c r="E131" s="1"/>
      <c r="F131" s="1"/>
      <c r="G131" s="1"/>
      <c r="H131" s="1"/>
      <c r="I131" s="1"/>
      <c r="J131" s="1"/>
      <c r="K131" s="1"/>
      <c r="L131" s="1"/>
      <c r="M131" s="1"/>
      <c r="N131" s="1"/>
    </row>
    <row r="132" spans="2:14" x14ac:dyDescent="0.2">
      <c r="B132" s="1"/>
      <c r="C132" s="1"/>
      <c r="D132" s="1"/>
      <c r="E132" s="1"/>
      <c r="F132" s="1"/>
      <c r="G132" s="1"/>
      <c r="H132" s="1"/>
      <c r="I132" s="1"/>
      <c r="J132" s="1"/>
      <c r="K132" s="1"/>
      <c r="L132" s="1"/>
      <c r="M132" s="1"/>
      <c r="N132" s="1"/>
    </row>
    <row r="133" spans="2:14" x14ac:dyDescent="0.2">
      <c r="B133" s="1"/>
      <c r="C133" s="1"/>
      <c r="D133" s="1"/>
      <c r="E133" s="1"/>
      <c r="F133" s="1"/>
      <c r="G133" s="1"/>
      <c r="H133" s="1"/>
      <c r="I133" s="1"/>
      <c r="J133" s="1"/>
      <c r="K133" s="1"/>
      <c r="L133" s="1"/>
      <c r="M133" s="1"/>
      <c r="N133" s="1"/>
    </row>
    <row r="134" spans="2:14" x14ac:dyDescent="0.2">
      <c r="B134" s="1"/>
      <c r="C134" s="1"/>
      <c r="D134" s="1"/>
      <c r="E134" s="1"/>
      <c r="F134" s="1"/>
      <c r="G134" s="1"/>
      <c r="H134" s="1"/>
      <c r="I134" s="1"/>
      <c r="J134" s="1"/>
      <c r="K134" s="1"/>
      <c r="L134" s="1"/>
      <c r="M134" s="1"/>
      <c r="N134" s="1"/>
    </row>
    <row r="135" spans="2:14" x14ac:dyDescent="0.2">
      <c r="B135" s="1"/>
      <c r="C135" s="1"/>
      <c r="D135" s="1"/>
      <c r="E135" s="1"/>
      <c r="F135" s="1"/>
      <c r="G135" s="1"/>
      <c r="H135" s="1"/>
      <c r="I135" s="1"/>
      <c r="J135" s="1"/>
      <c r="K135" s="1"/>
      <c r="L135" s="1"/>
      <c r="M135" s="1"/>
      <c r="N135" s="1"/>
    </row>
  </sheetData>
  <sheetProtection sheet="1" objects="1" scenarios="1"/>
  <customSheetViews>
    <customSheetView guid="{F9149101-45DA-497E-B5FE-736B1DD83EC1}" showRuler="0">
      <selection activeCell="A39" sqref="A39"/>
      <pageMargins left="0.75" right="0.75" top="1" bottom="1" header="0.5" footer="0.5"/>
      <pageSetup orientation="portrait" r:id="rId1"/>
      <headerFooter alignWithMargins="0"/>
    </customSheetView>
  </customSheetViews>
  <mergeCells count="6">
    <mergeCell ref="C1:D1"/>
    <mergeCell ref="K36:L36"/>
    <mergeCell ref="C25:E25"/>
    <mergeCell ref="F36:H36"/>
    <mergeCell ref="I36:J36"/>
    <mergeCell ref="C31:E31"/>
  </mergeCells>
  <phoneticPr fontId="0" type="noConversion"/>
  <hyperlinks>
    <hyperlink ref="B37" r:id="rId2" xr:uid="{00000000-0004-0000-0400-000000000000}"/>
    <hyperlink ref="B48" r:id="rId3" xr:uid="{00000000-0004-0000-0400-000001000000}"/>
    <hyperlink ref="E8" r:id="rId4" xr:uid="{00000000-0004-0000-0400-000002000000}"/>
  </hyperlinks>
  <pageMargins left="0.75" right="0.75" top="1" bottom="1" header="0.5" footer="0.5"/>
  <pageSetup scale="88" orientation="portrait"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2</vt:i4>
      </vt:variant>
      <vt:variant>
        <vt:lpstr>Named Ranges</vt:lpstr>
      </vt:variant>
      <vt:variant>
        <vt:i4>7</vt:i4>
      </vt:variant>
    </vt:vector>
  </HeadingPairs>
  <TitlesOfParts>
    <vt:vector size="12" baseType="lpstr">
      <vt:lpstr>Example</vt:lpstr>
      <vt:lpstr>Blank</vt:lpstr>
      <vt:lpstr>Data</vt:lpstr>
      <vt:lpstr>Example Charts</vt:lpstr>
      <vt:lpstr>Blank Charts</vt:lpstr>
      <vt:lpstr>Blank!Print_Area</vt:lpstr>
      <vt:lpstr>Data!Print_Area</vt:lpstr>
      <vt:lpstr>Example!Print_Area</vt:lpstr>
      <vt:lpstr>Types</vt:lpstr>
      <vt:lpstr>Typesblank</vt:lpstr>
      <vt:lpstr>zones</vt:lpstr>
      <vt:lpstr>zonesblank</vt:lpstr>
    </vt:vector>
  </TitlesOfParts>
  <Company>Economics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Edwards</dc:creator>
  <cp:lastModifiedBy>Elise Hepker</cp:lastModifiedBy>
  <cp:lastPrinted>2018-05-29T16:13:35Z</cp:lastPrinted>
  <dcterms:created xsi:type="dcterms:W3CDTF">2004-05-28T19:37:33Z</dcterms:created>
  <dcterms:modified xsi:type="dcterms:W3CDTF">2019-05-23T22:20:03Z</dcterms:modified>
</cp:coreProperties>
</file>